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fXTXE2KiNksJZ5cIQhDeTNjkgn2oG/Qy1G42+msP2g8d6imUQajASz8eRd5W7JkN6tXJ4FisTmxU+NPEkrkDNA==" workbookSaltValue="+4fIA2rKNqFk1Y6NnKu4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AL9" i="11" s="1"/>
  <c r="G10" i="2"/>
  <c r="G11" i="2"/>
  <c r="G12" i="2"/>
  <c r="E9" i="2"/>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0" i="6"/>
  <c r="B10" i="6"/>
  <c r="ES19" i="8"/>
  <c r="AC19" i="8"/>
  <c r="BH19" i="13"/>
  <c r="R19" i="8"/>
  <c r="EP19" i="8"/>
  <c r="EP19" i="19"/>
  <c r="AT17" i="20"/>
  <c r="N13" i="2"/>
  <c r="H13" i="12"/>
  <c r="T13" i="16"/>
  <c r="T13" i="20"/>
  <c r="J18" i="17"/>
  <c r="BG15" i="13"/>
  <c r="BA18" i="13"/>
  <c r="BE15" i="13"/>
  <c r="AH20" i="20"/>
  <c r="AB20" i="20"/>
  <c r="AO20" i="20"/>
  <c r="AN20" i="20"/>
  <c r="Y20" i="20"/>
  <c r="U10" i="11"/>
  <c r="AL20" i="20"/>
  <c r="AJ19" i="8" l="1"/>
  <c r="BF17" i="8"/>
  <c r="T19" i="8"/>
  <c r="T13" i="12"/>
  <c r="AC10" i="11"/>
  <c r="BE10" i="8"/>
  <c r="AO9" i="11"/>
  <c r="F9" i="2"/>
  <c r="C17" i="6"/>
  <c r="M13" i="2"/>
  <c r="K18" i="2"/>
  <c r="H12" i="7"/>
  <c r="E12" i="6"/>
  <c r="BG15" i="8"/>
  <c r="K15" i="7" s="1"/>
  <c r="BD16" i="8"/>
  <c r="C10" i="6"/>
  <c r="I10" i="12" s="1"/>
  <c r="AO17" i="11"/>
  <c r="L16" i="14"/>
  <c r="AL12" i="11"/>
  <c r="R8" i="9"/>
  <c r="L9" i="2" s="1"/>
  <c r="BD11" i="13"/>
  <c r="L17" i="14"/>
  <c r="F15" i="17"/>
  <c r="AQ15" i="17" s="1"/>
  <c r="BF9" i="8"/>
  <c r="H12" i="2"/>
  <c r="AY13" i="8"/>
  <c r="L9" i="14"/>
  <c r="L12" i="14"/>
  <c r="AY13" i="13"/>
  <c r="BA13" i="13"/>
  <c r="L16" i="2"/>
  <c r="BH16" i="11"/>
  <c r="BJ10" i="11"/>
  <c r="Q17" i="17"/>
  <c r="BU12" i="17"/>
  <c r="X12" i="21"/>
  <c r="BF11" i="11"/>
  <c r="BL11" i="11"/>
  <c r="T17" i="11"/>
  <c r="BH9" i="16"/>
  <c r="BJ17" i="11"/>
  <c r="BH15" i="16"/>
  <c r="V11" i="16"/>
  <c r="BF16" i="11"/>
  <c r="BL12" i="11"/>
  <c r="BK11" i="11"/>
  <c r="BM12" i="11"/>
  <c r="BI15" i="11"/>
  <c r="BJ12" i="11"/>
  <c r="BG15" i="11"/>
  <c r="BK17" i="1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BI10" i="11"/>
  <c r="Q10" i="21"/>
  <c r="V9" i="11"/>
  <c r="BJ11" i="11"/>
  <c r="R10" i="21"/>
  <c r="R13" i="21" s="1"/>
  <c r="BI17" i="11"/>
  <c r="BG9" i="11"/>
  <c r="BH17" i="11"/>
  <c r="BM15" i="11"/>
  <c r="T17" i="16"/>
  <c r="T15" i="16"/>
  <c r="BU11" i="17"/>
  <c r="BV17" i="16"/>
  <c r="BU10" i="17"/>
  <c r="BW12" i="20"/>
  <c r="BV11"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J17" i="12"/>
  <c r="AZ9" i="11"/>
  <c r="R17" i="20"/>
  <c r="R18" i="20" s="1"/>
  <c r="AP15" i="20"/>
  <c r="BJ15" i="11"/>
  <c r="BH9" i="11"/>
  <c r="AP10" i="21"/>
  <c r="V17" i="16"/>
  <c r="S17" i="16"/>
  <c r="S18" i="16" s="1"/>
  <c r="BF17" i="11"/>
  <c r="Q17" i="20"/>
  <c r="Q18" i="20" s="1"/>
  <c r="BH15" i="11"/>
  <c r="BH18" i="11" s="1"/>
  <c r="V15" i="11"/>
  <c r="AP16" i="20"/>
  <c r="BV12" i="16"/>
  <c r="BH11" i="16"/>
  <c r="T9" i="11"/>
  <c r="BW10" i="20"/>
  <c r="AZ12" i="11"/>
  <c r="BI9" i="11"/>
  <c r="BH11" i="11"/>
  <c r="BJ16" i="11"/>
  <c r="C13" i="6"/>
  <c r="BW11" i="20"/>
  <c r="BG12" i="11"/>
  <c r="BG16" i="11"/>
  <c r="P16" i="11" s="1"/>
  <c r="U10" i="17"/>
  <c r="BH10" i="11"/>
  <c r="BK16" i="11"/>
  <c r="AQ12" i="21"/>
  <c r="U9" i="17"/>
  <c r="U19" i="17" s="1"/>
  <c r="V12" i="16"/>
  <c r="AQ10" i="21"/>
  <c r="BL16" i="11"/>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AZ19" i="11"/>
  <c r="AZ13" i="11"/>
  <c r="BH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E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S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<sst xmlns="http://schemas.openxmlformats.org/spreadsheetml/2006/main" count="2102" uniqueCount="917">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</sst>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Bon7JlztOiiB1RqVOdTjD3wav86e4WAKpE8tndS4rnr0kJmmWS91TZ8wfU3uwc+mVGpGilPkTUToojlyq8aqw==" saltValue="thbrm6SND9z6pyrhVp9Q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5</v>
      </c>
      <c r="F10" s="226">
        <f>IF(ISNUMBER(Datos!K10),Datos!K10," - ")</f>
        <v>11</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46.914612676056336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5</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1525</v>
      </c>
      <c r="D16" s="225">
        <f>IF(ISNUMBER(IF(D_I="SI",Datos!I16,Datos!I16+Datos!AC16)),IF(D_I="SI",Datos!I16,Datos!I16+Datos!AC16)," - ")</f>
        <v>1524</v>
      </c>
      <c r="E16" s="226">
        <f>IF(ISNUMBER(IF(D_I="SI",Datos!J16,Datos!J16+Datos!AD16)),IF(D_I="SI",Datos!J16,Datos!J16+Datos!AD16)," - ")</f>
        <v>811</v>
      </c>
      <c r="F16" s="226">
        <f>IF(ISNUMBER(IF(D_I="SI",Datos!K16,Datos!K16+Datos!AE16)),IF(D_I="SI",Datos!K16,Datos!K16+Datos!AE16)," - ")</f>
        <v>681</v>
      </c>
      <c r="G16" s="1034" t="str">
        <f>IF(Datos!E16&lt;&gt;"",Datos!E16,Datos!D16)</f>
        <v>04</v>
      </c>
      <c r="H16" s="227">
        <f>IF(ISNUMBER(IF(D_I="SI",Datos!L16,Datos!L16+Datos!AF16)),IF(D_I="SI",Datos!L16,Datos!L16+Datos!AF16)," - ")</f>
        <v>1655</v>
      </c>
      <c r="I16" s="1044" t="str">
        <f>IF(ISNUMBER(Datos!AS16/Datos!BM16),Datos!AS16/Datos!BM16," - ")</f>
        <v xml:space="preserve"> - </v>
      </c>
      <c r="J16" s="1045">
        <f>IF(ISNUMBER(Datos!BY16/Datos!CN16),Datos!BY16/Datos!CN16," - ")</f>
        <v>0</v>
      </c>
      <c r="K16" s="230">
        <f t="shared" si="3"/>
        <v>8.5245901639344257E-2</v>
      </c>
      <c r="L16" s="1025">
        <f>IF(ISNUMBER(NºAsuntos!I16/NºAsuntos!G16),(NºAsuntos!I16/NºAsuntos!G16)*11," - ")</f>
        <v>26.732745961820854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160</v>
      </c>
      <c r="F17" s="226">
        <f>IF(ISNUMBER(IF(D_I="SI",Datos!K17,Datos!K17+Datos!AE17)),IF(D_I="SI",Datos!K17,Datos!K17+Datos!AE17)," - ")</f>
        <v>166</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-8.9552238805970144E-2</v>
      </c>
      <c r="L17" s="1025">
        <f>IF(ISNUMBER(NºAsuntos!I17/NºAsuntos!G17),(NºAsuntos!I17/NºAsuntos!G17)*11," - ")</f>
        <v>4.0421686746987957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1592</v>
      </c>
      <c r="D18" s="1049">
        <f>SUBTOTAL(9,D15:D17)</f>
        <v>1591</v>
      </c>
      <c r="E18" s="1050">
        <f>SUBTOTAL(9,E15:E17)</f>
        <v>971</v>
      </c>
      <c r="F18" s="1050">
        <f>SUBTOTAL(9,F15:F17)</f>
        <v>847</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1630</v>
      </c>
      <c r="D19" s="1071">
        <f>SUBTOTAL(9,D9:D18)</f>
        <v>1629</v>
      </c>
      <c r="E19" s="1072">
        <f>SUBTOTAL(9,E9:E18)</f>
        <v>976</v>
      </c>
      <c r="F19" s="1072">
        <f>SUBTOTAL(9,F9:F18)</f>
        <v>858</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jCWyI3kwa1h1sEhNC6w20bDHsRYP4hN4Yxl6quUjiwz2+3+rT38h9fqgk1EPGMcsp8g4o1kO1vjLx/IJCAPsg==" saltValue="b7fxcdqn97QiJsDKumv4Y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DPWWzbZ1cFuo066K+WSVyH6UvzRC7y4LzOsr8B1jd/CnS4Lz5glQoMBJHmT3U7361lzAykJWeucCi+bRcRY1A==" saltValue="8AygHKOWnLQE6s8F5LlS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5</v>
      </c>
      <c r="K10" s="181">
        <v>11</v>
      </c>
      <c r="L10" s="181">
        <v>32</v>
      </c>
      <c r="M10" s="181">
        <v>7</v>
      </c>
      <c r="N10" s="181">
        <v>5</v>
      </c>
      <c r="O10" s="181">
        <v>1</v>
      </c>
      <c r="P10" s="181">
        <v>2</v>
      </c>
      <c r="Q10" s="181">
        <v>1</v>
      </c>
      <c r="R10" s="181">
        <v>23</v>
      </c>
      <c r="S10" s="181">
        <v>38</v>
      </c>
      <c r="T10" s="181">
        <v>14</v>
      </c>
      <c r="U10" s="181">
        <v>15</v>
      </c>
      <c r="V10" s="181">
        <v>37</v>
      </c>
      <c r="W10" s="181">
        <v>11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38</v>
      </c>
      <c r="AZ10" s="129">
        <f t="shared" si="0"/>
        <v>14</v>
      </c>
      <c r="BA10" s="129">
        <f t="shared" si="0"/>
        <v>15</v>
      </c>
      <c r="BB10" s="129">
        <f t="shared" si="0"/>
        <v>37</v>
      </c>
      <c r="BC10" s="125">
        <f t="shared" si="0"/>
        <v>11</v>
      </c>
      <c r="BD10" s="126">
        <f>IF(ISNUMBER(BA10/AZ10),BA10/AZ10," - ")</f>
        <v>1.0714285714285714</v>
      </c>
      <c r="BE10" s="127">
        <f>IF(ISNUMBER(BB10/BA10),BB10/BA10, " - ")</f>
        <v>2.4666666666666668</v>
      </c>
      <c r="BF10" s="127">
        <f>IF(ISNUMBER(BC10/BA10),BC10/BA10, " - ")</f>
        <v>0.73333333333333328</v>
      </c>
      <c r="BG10" s="196">
        <f>IF(ISNUMBER((AY10+AZ10)/BA10),(AY10+AZ10)/BA10," - ")</f>
        <v>3.4666666666666668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4100</v>
      </c>
      <c r="J12" s="183">
        <v>1677</v>
      </c>
      <c r="K12" s="183">
        <v>1045</v>
      </c>
      <c r="L12" s="183">
        <v>4737</v>
      </c>
      <c r="M12" s="183">
        <v>274</v>
      </c>
      <c r="N12" s="183">
        <v>469</v>
      </c>
      <c r="O12" s="181">
        <v>303</v>
      </c>
      <c r="P12" s="183">
        <v>229</v>
      </c>
      <c r="Q12" s="183">
        <v>145</v>
      </c>
      <c r="R12" s="183">
        <v>7337</v>
      </c>
      <c r="S12" s="183">
        <v>3134</v>
      </c>
      <c r="T12" s="183">
        <v>1555</v>
      </c>
      <c r="U12" s="183">
        <v>1196</v>
      </c>
      <c r="V12" s="183">
        <v>3493</v>
      </c>
      <c r="W12" s="183">
        <v>254</v>
      </c>
      <c r="X12" s="189">
        <v>678</v>
      </c>
      <c r="Y12" s="191">
        <v>96</v>
      </c>
      <c r="Z12" s="181">
        <v>103</v>
      </c>
      <c r="AA12" s="181">
        <v>91</v>
      </c>
      <c r="AB12" s="181">
        <v>108</v>
      </c>
      <c r="AC12" s="183">
        <v>0</v>
      </c>
      <c r="AD12" s="183">
        <v>0</v>
      </c>
      <c r="AE12" s="183">
        <v>0</v>
      </c>
      <c r="AF12" s="189">
        <v>0</v>
      </c>
      <c r="AG12" s="202">
        <v>57</v>
      </c>
      <c r="AH12" s="183">
        <v>112</v>
      </c>
      <c r="AI12" s="183">
        <v>86</v>
      </c>
      <c r="AJ12" s="203">
        <v>83</v>
      </c>
      <c r="AK12" s="182">
        <v>0</v>
      </c>
      <c r="AL12" s="183">
        <v>0</v>
      </c>
      <c r="AM12" s="183">
        <v>0</v>
      </c>
      <c r="AN12" s="189">
        <v>0</v>
      </c>
      <c r="AO12" s="259">
        <v>4</v>
      </c>
      <c r="AP12" s="155">
        <v>4</v>
      </c>
      <c r="AQ12" s="155">
        <v>4</v>
      </c>
      <c r="AR12" s="154">
        <v>4</v>
      </c>
      <c r="AS12" s="340" t="s">
        <v>801</v>
      </c>
      <c r="AT12" s="203"/>
      <c r="AU12" s="202"/>
      <c r="AV12" s="203"/>
      <c r="AW12" s="202"/>
      <c r="AX12" s="203"/>
      <c r="AY12" s="126">
        <f t="shared" si="1"/>
        <v>3191</v>
      </c>
      <c r="AZ12" s="127">
        <f t="shared" si="1"/>
        <v>1667</v>
      </c>
      <c r="BA12" s="127">
        <f t="shared" si="1"/>
        <v>1282</v>
      </c>
      <c r="BB12" s="127">
        <f t="shared" si="1"/>
        <v>3576</v>
      </c>
      <c r="BC12" s="125">
        <f>IF(ISNUMBER(X12),X12," - ")</f>
        <v>678</v>
      </c>
      <c r="BD12" s="126">
        <f t="shared" si="2"/>
        <v>0.76904619076184766</v>
      </c>
      <c r="BE12" s="127">
        <f t="shared" si="3"/>
        <v>2.7893915756630263</v>
      </c>
      <c r="BF12" s="127">
        <f t="shared" si="4"/>
        <v>0.52886115444617787</v>
      </c>
      <c r="BG12" s="196">
        <f t="shared" si="5"/>
        <v>3.7893915756630263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4138</v>
      </c>
      <c r="J13" s="184">
        <f t="shared" si="6"/>
        <v>1682</v>
      </c>
      <c r="K13" s="184">
        <f t="shared" si="6"/>
        <v>1056</v>
      </c>
      <c r="L13" s="184">
        <f t="shared" si="6"/>
        <v>4769</v>
      </c>
      <c r="M13" s="184">
        <f t="shared" si="6"/>
        <v>281</v>
      </c>
      <c r="N13" s="184">
        <f t="shared" si="6"/>
        <v>474</v>
      </c>
      <c r="O13" s="184">
        <f t="shared" si="6"/>
        <v>304</v>
      </c>
      <c r="P13" s="184">
        <f t="shared" si="6"/>
        <v>231</v>
      </c>
      <c r="Q13" s="184">
        <f t="shared" si="6"/>
        <v>146</v>
      </c>
      <c r="R13" s="184">
        <f t="shared" si="6"/>
        <v>7360</v>
      </c>
      <c r="S13" s="184">
        <f t="shared" si="6"/>
        <v>3172</v>
      </c>
      <c r="T13" s="184">
        <f t="shared" si="6"/>
        <v>1569</v>
      </c>
      <c r="U13" s="184">
        <f t="shared" si="6"/>
        <v>1211</v>
      </c>
      <c r="V13" s="184">
        <f t="shared" si="6"/>
        <v>3530</v>
      </c>
      <c r="W13" s="184">
        <f t="shared" si="6"/>
        <v>265</v>
      </c>
      <c r="X13" s="184">
        <f t="shared" si="6"/>
        <v>681</v>
      </c>
      <c r="Y13" s="184">
        <f t="shared" si="6"/>
        <v>96</v>
      </c>
      <c r="Z13" s="184">
        <f t="shared" si="6"/>
        <v>103</v>
      </c>
      <c r="AA13" s="184">
        <f t="shared" si="6"/>
        <v>91</v>
      </c>
      <c r="AB13" s="184">
        <f t="shared" si="6"/>
        <v>108</v>
      </c>
      <c r="AC13" s="184">
        <f t="shared" si="6"/>
        <v>0</v>
      </c>
      <c r="AD13" s="184">
        <f t="shared" si="6"/>
        <v>0</v>
      </c>
      <c r="AE13" s="184">
        <f t="shared" si="6"/>
        <v>0</v>
      </c>
      <c r="AF13" s="184">
        <f>SUBTOTAL(9,AF9:AF12)</f>
        <v>0</v>
      </c>
      <c r="AG13" s="184">
        <f t="shared" ref="AG13:AT13" si="7">SUBTOTAL(9,AG8:AG12)</f>
        <v>57</v>
      </c>
      <c r="AH13" s="184">
        <f t="shared" si="7"/>
        <v>112</v>
      </c>
      <c r="AI13" s="184">
        <f t="shared" si="7"/>
        <v>86</v>
      </c>
      <c r="AJ13" s="184">
        <f t="shared" si="7"/>
        <v>83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3229</v>
      </c>
      <c r="AZ13" s="184">
        <f>SUBTOTAL(9,AZ8:AZ12)</f>
        <v>1681</v>
      </c>
      <c r="BA13" s="184">
        <f>SUBTOTAL(9,BA8:BA12)</f>
        <v>1297</v>
      </c>
      <c r="BB13" s="184">
        <f>SUBTOTAL(9,BB8:BB12)</f>
        <v>3613</v>
      </c>
      <c r="BC13" s="184">
        <f>SUBTOTAL(9,BC8:BC12)</f>
        <v>689</v>
      </c>
      <c r="BD13" s="205">
        <f>IF(ISNUMBER(BA13/AZ13),BA13/AZ13," - ")</f>
        <v>0.77156454491374182</v>
      </c>
      <c r="BE13" s="206">
        <f>IF(ISNUMBER(BB13/BA13),BB13/BA13, " - ")</f>
        <v>2.7856592135697764</v>
      </c>
      <c r="BF13" s="206">
        <f>IF(ISNUMBER(BC13/BA13),BC13/BA13, " - ")</f>
        <v>0.53122590593677721</v>
      </c>
      <c r="BG13" s="207">
        <f>IF(ISNUMBER((AY13+AZ13)/BA13),(AY13+AZ13)/BA13," - ")</f>
        <v>3.7856592135697764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1524</v>
      </c>
      <c r="J16" s="183">
        <v>811</v>
      </c>
      <c r="K16" s="183">
        <v>681</v>
      </c>
      <c r="L16" s="183">
        <v>1655</v>
      </c>
      <c r="M16" s="183">
        <v>121</v>
      </c>
      <c r="N16" s="183">
        <v>322</v>
      </c>
      <c r="O16" s="181">
        <v>1</v>
      </c>
      <c r="P16" s="183">
        <v>3</v>
      </c>
      <c r="Q16" s="183">
        <v>16</v>
      </c>
      <c r="R16" s="183">
        <v>150</v>
      </c>
      <c r="S16" s="183">
        <v>842</v>
      </c>
      <c r="T16" s="183">
        <v>861</v>
      </c>
      <c r="U16" s="183">
        <v>700</v>
      </c>
      <c r="V16" s="183">
        <v>1003</v>
      </c>
      <c r="W16" s="183">
        <v>82</v>
      </c>
      <c r="X16" s="189">
        <v>312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842</v>
      </c>
      <c r="AZ16" s="127">
        <f t="shared" si="9"/>
        <v>861</v>
      </c>
      <c r="BA16" s="127">
        <f t="shared" si="9"/>
        <v>700</v>
      </c>
      <c r="BB16" s="127">
        <f t="shared" si="9"/>
        <v>1003</v>
      </c>
      <c r="BC16" s="125">
        <f>IF(ISNUMBER(W16),W16," - ")</f>
        <v>82</v>
      </c>
      <c r="BD16" s="126">
        <f t="shared" ref="BD16" si="11">IF(ISNUMBER(BA16/AZ16),BA16/AZ16," - ")</f>
        <v>0.81300813008130079</v>
      </c>
      <c r="BE16" s="127">
        <f t="shared" ref="BE16" si="12">IF(ISNUMBER(BB16/BA16),BB16/BA16, " - ")</f>
        <v>1.4328571428571428</v>
      </c>
      <c r="BF16" s="127">
        <f t="shared" ref="BF16" si="13">IF(ISNUMBER(BC16/BA16),BC16/BA16, " - ")</f>
        <v>0.11714285714285715</v>
      </c>
      <c r="BG16" s="196">
        <f t="shared" si="10"/>
        <v>2.4328571428571428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160</v>
      </c>
      <c r="K17" s="183">
        <v>166</v>
      </c>
      <c r="L17" s="183">
        <v>61</v>
      </c>
      <c r="M17" s="183">
        <v>10</v>
      </c>
      <c r="N17" s="183">
        <v>92</v>
      </c>
      <c r="O17" s="183">
        <v>0</v>
      </c>
      <c r="P17" s="183">
        <v>0</v>
      </c>
      <c r="Q17" s="183">
        <v>0</v>
      </c>
      <c r="R17" s="183">
        <v>3</v>
      </c>
      <c r="S17" s="183">
        <v>62</v>
      </c>
      <c r="T17" s="183">
        <v>116</v>
      </c>
      <c r="U17" s="183">
        <v>132</v>
      </c>
      <c r="V17" s="183">
        <v>46</v>
      </c>
      <c r="W17" s="183">
        <v>21</v>
      </c>
      <c r="X17" s="189">
        <v>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62</v>
      </c>
      <c r="AZ17" s="129">
        <f t="shared" si="14"/>
        <v>116</v>
      </c>
      <c r="BA17" s="129">
        <f t="shared" si="14"/>
        <v>132</v>
      </c>
      <c r="BB17" s="129">
        <f t="shared" si="14"/>
        <v>46</v>
      </c>
      <c r="BC17" s="125">
        <f>IF(ISNUMBER(W17),W17," - ")</f>
        <v>21</v>
      </c>
      <c r="BD17" s="126">
        <f>IF(ISNUMBER(BA17/AZ17),BA17/AZ17," - ")</f>
        <v>1.1379310344827587</v>
      </c>
      <c r="BE17" s="127">
        <f>IF(ISNUMBER(BB17/BA17),BB17/BA17, " - ")</f>
        <v>0.34848484848484851</v>
      </c>
      <c r="BF17" s="127">
        <f>IF(ISNUMBER(BC17/BA17),BC17/BA17, " - ")</f>
        <v>0.15909090909090909</v>
      </c>
      <c r="BG17" s="196">
        <f>IF(ISNUMBER((AY17+AZ17)/BA17),(AY17+AZ17)/BA17," - ")</f>
        <v>1.3484848484848484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1591</v>
      </c>
      <c r="J18" s="184">
        <f t="shared" si="15"/>
        <v>971</v>
      </c>
      <c r="K18" s="184">
        <f t="shared" si="15"/>
        <v>847</v>
      </c>
      <c r="L18" s="184">
        <f t="shared" si="15"/>
        <v>1716</v>
      </c>
      <c r="M18" s="184">
        <f t="shared" si="15"/>
        <v>131</v>
      </c>
      <c r="N18" s="184">
        <f t="shared" si="15"/>
        <v>414</v>
      </c>
      <c r="O18" s="184">
        <f t="shared" si="15"/>
        <v>1</v>
      </c>
      <c r="P18" s="184">
        <f t="shared" si="15"/>
        <v>3</v>
      </c>
      <c r="Q18" s="184">
        <f t="shared" si="15"/>
        <v>16</v>
      </c>
      <c r="R18" s="184">
        <f t="shared" si="15"/>
        <v>153</v>
      </c>
      <c r="S18" s="184">
        <f t="shared" si="15"/>
        <v>904</v>
      </c>
      <c r="T18" s="184">
        <f t="shared" si="15"/>
        <v>977</v>
      </c>
      <c r="U18" s="184">
        <f t="shared" si="15"/>
        <v>832</v>
      </c>
      <c r="V18" s="184">
        <f t="shared" si="15"/>
        <v>1049</v>
      </c>
      <c r="W18" s="184">
        <f t="shared" si="15"/>
        <v>103</v>
      </c>
      <c r="X18" s="184">
        <f t="shared" si="15"/>
        <v>375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904</v>
      </c>
      <c r="AZ18" s="184">
        <f>SUBTOTAL(9,AZ14:AZ17)</f>
        <v>977</v>
      </c>
      <c r="BA18" s="184">
        <f>SUBTOTAL(9,BA14:BA17)</f>
        <v>832</v>
      </c>
      <c r="BB18" s="184">
        <f>SUBTOTAL(9,BB14:BB17)</f>
        <v>1049</v>
      </c>
      <c r="BC18" s="184">
        <f>SUBTOTAL(9,BC14:BC17)</f>
        <v>103</v>
      </c>
      <c r="BD18" s="205">
        <f>IF(ISNUMBER(BA18/AZ18),BA18/AZ18," - ")</f>
        <v>0.85158648925281477</v>
      </c>
      <c r="BE18" s="206">
        <f>IF(ISNUMBER(BB18/BA18),BB18/BA18, " - ")</f>
        <v>1.2608173076923077</v>
      </c>
      <c r="BF18" s="206">
        <f>IF(ISNUMBER(BC18/BA18),BC18/BA18, " - ")</f>
        <v>0.12379807692307693</v>
      </c>
      <c r="BG18" s="207">
        <f>IF(ISNUMBER((AY18+AZ18)/BA18),(AY18+AZ18)/BA18," - ")</f>
        <v>2.2608173076923075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5729</v>
      </c>
      <c r="J19" s="134">
        <f t="shared" si="18"/>
        <v>2653</v>
      </c>
      <c r="K19" s="134">
        <f t="shared" si="18"/>
        <v>1903</v>
      </c>
      <c r="L19" s="134">
        <f t="shared" si="18"/>
        <v>6485</v>
      </c>
      <c r="M19" s="134">
        <f t="shared" si="18"/>
        <v>412</v>
      </c>
      <c r="N19" s="134">
        <f t="shared" si="18"/>
        <v>888</v>
      </c>
      <c r="O19" s="134">
        <f t="shared" si="18"/>
        <v>305</v>
      </c>
      <c r="P19" s="134">
        <f t="shared" si="18"/>
        <v>234</v>
      </c>
      <c r="Q19" s="134">
        <f t="shared" si="18"/>
        <v>162</v>
      </c>
      <c r="R19" s="134">
        <f t="shared" si="18"/>
        <v>7513</v>
      </c>
      <c r="S19" s="134">
        <f t="shared" si="18"/>
        <v>4076</v>
      </c>
      <c r="T19" s="134">
        <f t="shared" si="18"/>
        <v>2546</v>
      </c>
      <c r="U19" s="134">
        <f t="shared" si="18"/>
        <v>2043</v>
      </c>
      <c r="V19" s="134">
        <f t="shared" si="18"/>
        <v>4579</v>
      </c>
      <c r="W19" s="134">
        <f t="shared" si="18"/>
        <v>368</v>
      </c>
      <c r="X19" s="134">
        <f t="shared" si="18"/>
        <v>1056</v>
      </c>
      <c r="Y19" s="134">
        <f t="shared" si="18"/>
        <v>96</v>
      </c>
      <c r="Z19" s="134">
        <f t="shared" si="18"/>
        <v>103</v>
      </c>
      <c r="AA19" s="134">
        <f t="shared" si="18"/>
        <v>91</v>
      </c>
      <c r="AB19" s="134">
        <f t="shared" si="18"/>
        <v>108</v>
      </c>
      <c r="AC19" s="134">
        <f t="shared" si="18"/>
        <v>0</v>
      </c>
      <c r="AD19" s="134">
        <f t="shared" si="18"/>
        <v>0</v>
      </c>
      <c r="AE19" s="134">
        <f t="shared" si="18"/>
        <v>0</v>
      </c>
      <c r="AF19" s="134">
        <f t="shared" si="18"/>
        <v>0</v>
      </c>
      <c r="AG19" s="134">
        <f t="shared" si="18"/>
        <v>57</v>
      </c>
      <c r="AH19" s="134">
        <f t="shared" si="18"/>
        <v>112</v>
      </c>
      <c r="AI19" s="134">
        <f t="shared" si="18"/>
        <v>86</v>
      </c>
      <c r="AJ19" s="134">
        <f t="shared" si="18"/>
        <v>83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4133</v>
      </c>
      <c r="AZ19" s="134">
        <f>SUBTOTAL(9,AZ9:AZ18)</f>
        <v>2658</v>
      </c>
      <c r="BA19" s="134">
        <f>SUBTOTAL(9,BA9:BA18)</f>
        <v>2129</v>
      </c>
      <c r="BB19" s="134">
        <f>SUBTOTAL(9,BB9:BB18)</f>
        <v>4662</v>
      </c>
      <c r="BC19" s="135">
        <f>SUBTOTAL(9,BC9:BC18)</f>
        <v>792</v>
      </c>
      <c r="BD19" s="213">
        <f>IF(ISNUMBER(BA19/AZ19),BA19/AZ19," - ")</f>
        <v>0.80097817908201652</v>
      </c>
      <c r="BE19" s="210">
        <f>IF(ISNUMBER(BB19/BA19),BB19/BA19, " - ")</f>
        <v>2.189760450915923</v>
      </c>
      <c r="BF19" s="210">
        <f>IF(ISNUMBER(BC19/BA19),BC19/BA19, " - ")</f>
        <v>0.37200563644903711</v>
      </c>
      <c r="BG19" s="135">
        <f>IF(ISNUMBER((AY19+AZ19)/BA19),(AY19+AZ19)/BA19," - ")</f>
        <v>3.189760450915923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aJEx6m2pBUJVa5kP8MPOQN19X8eaGN1lemj/G9S3iLk9u4wNoz0d8OfdBe5Rgkzog6tFRL4F/ns9mUHGsDKVQ==" saltValue="LTNhhMvUhcQQn5UGR9b7R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Q9XhmqeNB6w5uTw1zE7552k2/cr3vq3Xd2k2bUoArTduhymnyAH9PQBuOrH1mer4cbqIJIJ2teWSiVYoR7cQ==" saltValue="7K7ZYhbx+8eU48CI2anCA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1</v>
      </c>
      <c r="AD10" s="334"/>
      <c r="AE10" s="484"/>
      <c r="AF10" s="332">
        <f>IF(ISNUMBER(Datos!L10),Datos!L10,"-")</f>
        <v>32</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5</v>
      </c>
      <c r="BE10" s="229" t="str">
        <f>IF(ISNUMBER(Datos!BW10),Datos!BW10," - ")</f>
        <v xml:space="preserve"> - </v>
      </c>
      <c r="BF10" s="228" t="str">
        <f>IF(ISNUMBER(Datos!BX10),Datos!BX10," - ")</f>
        <v xml:space="preserve"> - </v>
      </c>
      <c r="BG10" s="243">
        <f>IF(ISNUMBER(Datos!K10/Datos!J10),Datos!K10/Datos!J10," - ")</f>
        <v>2.2000000000000002</v>
      </c>
      <c r="BH10" s="260">
        <f>IF(ISNUMBER(((Datos!L10/Datos!K10)*11)/factor_trimestre),((Datos!L10/Datos!K10)*11)/factor_trimestre," - ")</f>
        <v>8.7272727272727284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103</v>
      </c>
      <c r="O12" s="334"/>
      <c r="P12" s="334"/>
      <c r="Q12" s="226">
        <f>IF(ISNUMBER(Datos!P12),Datos!P12,0)</f>
        <v>229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7337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274</v>
      </c>
      <c r="BD12" s="229">
        <f>IF(ISNUMBER(Datos!N12),Datos!N12," - ")</f>
        <v>469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0.63820224719101126</v>
      </c>
      <c r="BH12" s="260">
        <f>IF(ISNUMBER(((IF(J_V="SI",Datos!L12/Datos!K12,(Datos!L12+Datos!AB12)/(Datos!K12+Datos!AA12)))*11)/factor_trimestre),((IF(J_V="SI",Datos!L12/Datos!K12,(Datos!L12+Datos!AB12)/(Datos!K12+Datos!AA12)))*11)/factor_trimestre," - ")</f>
        <v>12.794894366197184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1.1581414587067421E-2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231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146</v>
      </c>
      <c r="AD13" s="899">
        <f t="shared" si="1"/>
        <v>0</v>
      </c>
      <c r="AE13" s="899">
        <f t="shared" si="1"/>
        <v>0</v>
      </c>
      <c r="AF13" s="899">
        <f t="shared" si="1"/>
        <v>32</v>
      </c>
      <c r="AG13" s="899">
        <f t="shared" si="1"/>
        <v>0</v>
      </c>
      <c r="AH13" s="899">
        <f t="shared" si="1"/>
        <v>108</v>
      </c>
      <c r="AI13" s="899">
        <f t="shared" si="1"/>
        <v>0</v>
      </c>
      <c r="AJ13" s="899">
        <f t="shared" si="1"/>
        <v>0</v>
      </c>
      <c r="AK13" s="899">
        <f t="shared" si="1"/>
        <v>0</v>
      </c>
      <c r="AL13" s="899">
        <f t="shared" si="1"/>
        <v>0</v>
      </c>
      <c r="AM13" s="899">
        <f t="shared" si="1"/>
        <v>7360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281</v>
      </c>
      <c r="BD13" s="899">
        <f t="shared" si="1"/>
        <v>474</v>
      </c>
      <c r="BE13" s="899">
        <f t="shared" si="1"/>
        <v>0</v>
      </c>
      <c r="BF13" s="899">
        <f t="shared" si="1"/>
        <v>0</v>
      </c>
      <c r="BG13" s="899">
        <f>IF(ISNUMBER(Datos!K13/Datos!J13),Datos!K13/Datos!J13," - ")</f>
        <v>0.62782401902497031</v>
      </c>
      <c r="BH13" s="903">
        <f>IF(ISNUMBER(((Datos!L13/Datos!K13)*11)/factor_trimestre),((Datos!L13/Datos!K13)*11)/factor_trimestre," - ")</f>
        <v>13.548295454545453</v>
      </c>
      <c r="BI13" s="899">
        <f>IF(ISNUMBER('Resol  Asuntos'!D13/NºAsuntos!G13),'Resol  Asuntos'!D13/NºAsuntos!G13," - ")</f>
        <v>0.24498692240627726</v>
      </c>
      <c r="BJ13" s="899" t="str">
        <f>IF(ISNUMBER(Datos!CI13/Datos!CJ13),Datos!CI13/Datos!CJ13," - ")</f>
        <v xml:space="preserve"> - </v>
      </c>
      <c r="BK13" s="899">
        <f>SUBTOTAL(9,BK8:BK12)</f>
        <v>0</v>
      </c>
      <c r="BL13" s="899">
        <f>IF(ISNUMBER((I13-AB13+L13)/(F13)),(I13-AB13+L13)/(F13)," - ")</f>
        <v>-0.28947368421052633</v>
      </c>
      <c r="BM13" s="904">
        <f>SUBTOTAL(9,BM9:BM12)</f>
        <v>5.7035960041612876E-2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1525</v>
      </c>
      <c r="G16" s="598">
        <f>IF(ISNUMBER(IF(D_I="SI",Datos!I16,Datos!I16+Datos!AC16)),IF(D_I="SI",Datos!I16,Datos!I16+Datos!AC16)," - ")</f>
        <v>1524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681</v>
      </c>
      <c r="AC16" s="226">
        <f>IF(ISNUMBER(Datos!Q16),Datos!Q16," - ")</f>
        <v>16</v>
      </c>
      <c r="AD16" s="334"/>
      <c r="AE16" s="484"/>
      <c r="AF16" s="596">
        <f>IF(ISNUMBER(IF(D_I="SI",Datos!L16,Datos!L16+Datos!AF16)),IF(D_I="SI",Datos!L16,Datos!L16+Datos!AF16)," - ")</f>
        <v>1655</v>
      </c>
      <c r="AG16" s="334"/>
      <c r="AH16" s="334"/>
      <c r="AI16" s="334"/>
      <c r="AJ16" s="334"/>
      <c r="AK16" s="334"/>
      <c r="AL16" s="479"/>
      <c r="AM16" s="335">
        <f>IF(ISNUMBER(Datos!R16),Datos!R16," - ")</f>
        <v>150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121</v>
      </c>
      <c r="BD16" s="229">
        <f>IF(ISNUMBER(Datos!N16),Datos!N16," - ")</f>
        <v>322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0.83970406905055484</v>
      </c>
      <c r="BH16" s="260">
        <f>IF(ISNUMBER(((IF(D_I="SI",Datos!L16/Datos!K16,(Datos!L16+Datos!AF16)/(Datos!K16+Datos!AE16)))*11)/factor_trimestre),((IF(D_I="SI",Datos!L16/Datos!K16,(Datos!L16+Datos!AF16)/(Datos!K16+Datos!AE16)))*11)/factor_trimestre," - ")</f>
        <v>7.290748898678415</v>
      </c>
      <c r="BI16" s="243">
        <f>IF(ISNUMBER('Resol  Asuntos'!D16/NºAsuntos!G16),'Resol  Asuntos'!D16/NºAsuntos!G16," - ")</f>
        <v>0.1776798825256975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166</v>
      </c>
      <c r="AC17" s="226">
        <f>IF(ISNUMBER(Datos!Q17),Datos!Q17," - ")</f>
        <v>0</v>
      </c>
      <c r="AD17" s="334"/>
      <c r="AE17" s="484"/>
      <c r="AF17" s="332">
        <f>IF(ISNUMBER(Datos!L17),Datos!L17,"-")</f>
        <v>61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1.0375000000000001</v>
      </c>
      <c r="BH17" s="260">
        <f>IF(ISNUMBER(((IF(D_I="SI",Datos!L17/Datos!K17,(Datos!L17+Datos!AF17)/(Datos!K17+Datos!AE17)))*11)/factor_trimestre),((IF(D_I="SI",Datos!L17/Datos!K17,(Datos!L17+Datos!AF17)/(Datos!K17+Datos!AE17)))*11)/factor_trimestre," - ")</f>
        <v>1.102409638554217</v>
      </c>
      <c r="BI17" s="243">
        <f>IF(ISNUMBER('Resol  Asuntos'!D17/NºAsuntos!G17),'Resol  Asuntos'!D17/NºAsuntos!G17," - ")</f>
        <v>6.0240963855421686E-2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1525</v>
      </c>
      <c r="G18" s="898">
        <f>SUBTOTAL(9,G15:G17)</f>
        <v>1591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847</v>
      </c>
      <c r="AC18" s="899">
        <f t="shared" si="4"/>
        <v>16</v>
      </c>
      <c r="AD18" s="899">
        <f t="shared" si="4"/>
        <v>0</v>
      </c>
      <c r="AE18" s="899">
        <f t="shared" si="4"/>
        <v>0</v>
      </c>
      <c r="AF18" s="899">
        <f t="shared" si="4"/>
        <v>1716</v>
      </c>
      <c r="AG18" s="899">
        <f t="shared" si="4"/>
        <v>0</v>
      </c>
      <c r="AH18" s="899">
        <f t="shared" si="4"/>
        <v>0</v>
      </c>
      <c r="AI18" s="899">
        <f t="shared" si="4"/>
        <v>0</v>
      </c>
      <c r="AJ18" s="899">
        <f t="shared" si="4"/>
        <v>0</v>
      </c>
      <c r="AK18" s="899">
        <f t="shared" si="4"/>
        <v>0</v>
      </c>
      <c r="AL18" s="899">
        <f t="shared" si="4"/>
        <v>0</v>
      </c>
      <c r="AM18" s="899">
        <f t="shared" si="4"/>
        <v>153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414</v>
      </c>
      <c r="BE18" s="899">
        <f t="shared" si="4"/>
        <v>0</v>
      </c>
      <c r="BF18" s="899">
        <f t="shared" si="4"/>
        <v>0</v>
      </c>
      <c r="BG18" s="899">
        <f>IF(ISNUMBER(Datos!K18/Datos!J18),Datos!K18/Datos!J18," - ")</f>
        <v>0.87229660144181254</v>
      </c>
      <c r="BH18" s="903">
        <f>IF(ISNUMBER(((Datos!L18/Datos!K18)*11)/factor_trimestre),((Datos!L18/Datos!K18)*11)/factor_trimestre," - ")</f>
        <v>6.0779220779220777</v>
      </c>
      <c r="BI18" s="899">
        <f>SUBTOTAL(9,BI15:BI17)</f>
        <v>0.23792084638111918</v>
      </c>
      <c r="BJ18" s="899">
        <f>SUBTOTAL(9,BJ15:BJ17)</f>
        <v>0</v>
      </c>
      <c r="BK18" s="899">
        <f>SUBTOTAL(9,BK15:BK17)</f>
        <v>0</v>
      </c>
      <c r="BL18" s="899">
        <f>IF(ISNUMBER((I18-AB18+L18)/(F18)),(I18-AB18+L18)/(F18)," - ")</f>
        <v>-0.55540983606557381</v>
      </c>
      <c r="BM18" s="905">
        <f>IF(ISNUMBER((Datos!P18-Datos!Q18)/(Datos!R18-Datos!P18+Datos!Q18)),(Datos!P18-Datos!Q18)/(Datos!R18-Datos!P18+Datos!Q18)," - ")</f>
        <v>-7.8313253012048195E-2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1563</v>
      </c>
      <c r="G19" s="820">
        <f t="shared" si="6"/>
        <v>1629</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234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858</v>
      </c>
      <c r="AC19" s="821">
        <f t="shared" si="7"/>
        <v>162</v>
      </c>
      <c r="AD19" s="821">
        <f t="shared" si="7"/>
        <v>0</v>
      </c>
      <c r="AE19" s="821">
        <f t="shared" si="7"/>
        <v>0</v>
      </c>
      <c r="AF19" s="828">
        <f t="shared" si="7"/>
        <v>1748</v>
      </c>
      <c r="AG19" s="828">
        <f t="shared" si="7"/>
        <v>0</v>
      </c>
      <c r="AH19" s="828">
        <f t="shared" si="7"/>
        <v>108</v>
      </c>
      <c r="AI19" s="828">
        <f t="shared" si="7"/>
        <v>0</v>
      </c>
      <c r="AJ19" s="821">
        <f t="shared" si="7"/>
        <v>0</v>
      </c>
      <c r="AK19" s="828">
        <f t="shared" si="7"/>
        <v>0</v>
      </c>
      <c r="AL19" s="828">
        <f t="shared" si="7"/>
        <v>0</v>
      </c>
      <c r="AM19" s="828">
        <f t="shared" si="7"/>
        <v>7513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v>
      </c>
      <c r="BD19" s="820">
        <f t="shared" si="7"/>
        <v>888</v>
      </c>
      <c r="BE19" s="820">
        <f t="shared" si="7"/>
        <v>0</v>
      </c>
      <c r="BF19" s="830">
        <f t="shared" si="7"/>
        <v>0</v>
      </c>
      <c r="BG19" s="915">
        <f>IF(ISNUMBER(Datos!K19/Datos!J19),Datos!K19/Datos!J19," - ")</f>
        <v>0.71730116848850356</v>
      </c>
      <c r="BH19" s="915">
        <f>IF(ISNUMBER(((Datos!L19/Datos!K19)*11)/factor_trimestre),((Datos!L19/Datos!K19)*11)/factor_trimestre," - ")</f>
        <v>10.223331581713087</v>
      </c>
      <c r="BI19" s="813">
        <f>IF(ISNUMBER(Datos!J19/Datos!I19),Datos!J19/Datos!I19," - ")</f>
        <v>0.46308256240181533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-0.54894433781190022</v>
      </c>
      <c r="BM19" s="889">
        <f>IF(ISNUMBER((Datos!P19-Datos!Q19+R19)/(Datos!R19-Datos!P19+Datos!Q19-R19)),(Datos!P19-Datos!Q19+R19)/(Datos!R19-Datos!P19+Datos!Q19-R19)," - ")</f>
        <v>9.6761188012363924E-3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858.51985028497359</v>
      </c>
      <c r="G21" s="552">
        <f>IF(ISNUMBER(STDEV(G8:G18)),STDEV(G8:G18),"-")</f>
        <v>827.39367897029524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393.71207753890405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120.68581800139843</v>
      </c>
      <c r="BD21" s="551"/>
      <c r="BE21" s="551">
        <f>IF(ISNUMBER(STDEV(BE8:BE18)),STDEV(BE8:BE18),"-")</f>
        <v>0</v>
      </c>
      <c r="BF21" s="556">
        <f>IF(ISNUMBER(STDEV(BF8:BF18)),STDEV(BF8:BF18),"-")</f>
        <v>0</v>
      </c>
      <c r="BG21" s="775">
        <f>IF(ISNUMBER(STDEV(BG8:BG18)),STDEV(BG8:BG18),"-")</f>
        <v>0.59077572588817051</v>
      </c>
      <c r="BH21" s="776">
        <f>IF(ISNUMBER(STDEV(BH8:BH18)),STDEV(BH8:BH18),"-")</f>
        <v>4.5974261123084172</v>
      </c>
      <c r="BI21" s="249">
        <f>IF(ISNUMBER(STDEV(BI8:BI18)),STDEV(BI8:BI18),"-")</f>
        <v>8.5489887436942566E-2</v>
      </c>
      <c r="BJ21" s="230" t="str">
        <f>IF(ISNUMBER(BL21/BM21),BL21/BM21," - ")</f>
        <v xml:space="preserve"> - </v>
      </c>
      <c r="BK21" s="575"/>
      <c r="BL21" s="559">
        <f>IF(ISNUMBER(STDEV(BL8:BL18)),STDEV(BL8:BL18),"-")</f>
        <v>0.18804525633935942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dtY8lGdSV9TfUYrkjriZadNzLOIzmlCvdhq6HU6jhWX8pSwJ75NfonSw8mKOsiPMgONHmJBNmzLDiSZUZ4vmA==" saltValue="P2WApmTxFWfjtISqPYpiH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1</v>
      </c>
      <c r="AA10" s="332">
        <f>IF(ISNUMBER(Datos!L10),Datos!L10,"-")</f>
        <v>32</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7</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8.7272727272727284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145</v>
      </c>
      <c r="AA12" s="332" t="str">
        <f>IF(ISNUMBER(IF(J_V="SI",Datos!L12,Datos!L12+Datos!AB12)-IF(Monitorios="SI",Datos!CD12,0)),
                          IF(J_V="SI",Datos!L12,Datos!L12+Datos!AB12)-IF(Monitorios="SI",Datos!CD12,0),
                          " - ")</f>
        <v xml:space="preserve"> - </v>
      </c>
      <c r="AB12" s="334"/>
      <c r="AC12" s="334"/>
      <c r="AD12" s="484"/>
      <c r="AE12" s="484">
        <f>IF(ISNUMBER(Datos!R12),Datos!R12," - ")</f>
        <v>7337</v>
      </c>
      <c r="AF12" s="229" t="str">
        <f>IF(ISNUMBER(Datos!BV12),Datos!BV12," - ")</f>
        <v xml:space="preserve"> - </v>
      </c>
      <c r="AG12" s="225" t="str">
        <f>IF(ISNUMBER(Datos!DV12),Datos!DV12," - ")</f>
        <v xml:space="preserve"> - </v>
      </c>
      <c r="AH12" s="298"/>
      <c r="AI12" s="227"/>
      <c r="AJ12" s="225">
        <f>IF(ISNUMBER(Datos!M12),Datos!M12," - ")</f>
        <v>274</v>
      </c>
      <c r="AK12" s="229">
        <f>IF(ISNUMBER(Datos!N12),Datos!N12," - ")</f>
        <v>469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12.794894366197184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1.1581414587067421E-2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231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146</v>
      </c>
      <c r="AA13" s="900">
        <f t="shared" si="2"/>
        <v>32</v>
      </c>
      <c r="AB13" s="900">
        <f t="shared" si="2"/>
        <v>0</v>
      </c>
      <c r="AC13" s="900">
        <f t="shared" si="2"/>
        <v>0</v>
      </c>
      <c r="AD13" s="900">
        <f t="shared" si="2"/>
        <v>0</v>
      </c>
      <c r="AE13" s="900">
        <f t="shared" si="2"/>
        <v>7360</v>
      </c>
      <c r="AF13" s="908">
        <f t="shared" si="2"/>
        <v>0</v>
      </c>
      <c r="AG13" s="908">
        <f t="shared" si="2"/>
        <v>0</v>
      </c>
      <c r="AH13" s="908">
        <f t="shared" si="2"/>
        <v>0</v>
      </c>
      <c r="AI13" s="908">
        <f t="shared" si="2"/>
        <v>0</v>
      </c>
      <c r="AJ13" s="908">
        <f t="shared" si="2"/>
        <v>281</v>
      </c>
      <c r="AK13" s="908">
        <f t="shared" si="2"/>
        <v>474</v>
      </c>
      <c r="AL13" s="908">
        <f t="shared" si="2"/>
        <v>0</v>
      </c>
      <c r="AM13" s="908">
        <f t="shared" si="2"/>
        <v>0</v>
      </c>
      <c r="AN13" s="908">
        <f t="shared" si="2"/>
        <v>0</v>
      </c>
      <c r="AO13" s="904">
        <f>IF(ISNUMBER(((NºAsuntos!I13/NºAsuntos!G13)*11)/factor_trimestre),((NºAsuntos!I13/NºAsuntos!G13)*11)/factor_trimestre," - ")</f>
        <v>12.755884917175239</v>
      </c>
      <c r="AP13" s="910" t="str">
        <f>IF(ISNUMBER(Datos!CI13/Datos!CJ13),Datos!CI13/Datos!CJ13," - ")</f>
        <v xml:space="preserve"> - </v>
      </c>
      <c r="AQ13" s="928">
        <f t="shared" ref="AQ13:AV13" si="3">SUBTOTAL(9,AQ9:AQ12)</f>
        <v>0</v>
      </c>
      <c r="AR13" s="928">
        <f t="shared" si="3"/>
        <v>5.7035960041612876E-2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1525</v>
      </c>
      <c r="G16" s="225">
        <f>IF(ISNUMBER(IF(D_I="SI",Datos!I16,Datos!I16+Datos!AC16)),IF(D_I="SI",Datos!I16,Datos!I16+Datos!AC16)," - ")</f>
        <v>1524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681</v>
      </c>
      <c r="Z16" s="619">
        <f>IF(ISNUMBER(Datos!Q16),Datos!Q16," - ")</f>
        <v>16</v>
      </c>
      <c r="AA16" s="332">
        <f>IF(ISNUMBER(IF(D_I="SI",Datos!L16,Datos!L16+Datos!AF16)),IF(D_I="SI",Datos!L16,Datos!L16+Datos!AF16)," - ")</f>
        <v>1655</v>
      </c>
      <c r="AB16" s="334"/>
      <c r="AC16" s="334"/>
      <c r="AD16" s="484"/>
      <c r="AE16" s="484">
        <f>IF(ISNUMBER(Datos!R16),Datos!R16," - ")</f>
        <v>150</v>
      </c>
      <c r="AF16" s="229" t="str">
        <f>IF(ISNUMBER(Datos!BV16),Datos!BV16," - ")</f>
        <v xml:space="preserve"> - </v>
      </c>
      <c r="AG16" s="225"/>
      <c r="AH16" s="298"/>
      <c r="AI16" s="227"/>
      <c r="AJ16" s="225">
        <f>IF(ISNUMBER(Datos!M16),Datos!M16," - ")</f>
        <v>121</v>
      </c>
      <c r="AK16" s="229">
        <f>IF(ISNUMBER(Datos!N16),Datos!N16," - ")</f>
        <v>322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7.290748898678415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166</v>
      </c>
      <c r="Z17" s="619">
        <f>IF(ISNUMBER(Datos!Q17),Datos!Q17," - ")</f>
        <v>0</v>
      </c>
      <c r="AA17" s="332">
        <f>IF(ISNUMBER(Datos!L17),Datos!L17,"-")</f>
        <v>61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10</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1.102409638554217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1525</v>
      </c>
      <c r="G18" s="898">
        <f>SUBTOTAL(9,G15:G17)</f>
        <v>1591</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847</v>
      </c>
      <c r="Z18" s="932">
        <f t="shared" si="5"/>
        <v>16</v>
      </c>
      <c r="AA18" s="932">
        <f t="shared" si="5"/>
        <v>1716</v>
      </c>
      <c r="AB18" s="932">
        <f t="shared" si="5"/>
        <v>0</v>
      </c>
      <c r="AC18" s="932">
        <f t="shared" si="5"/>
        <v>0</v>
      </c>
      <c r="AD18" s="932">
        <f t="shared" si="5"/>
        <v>0</v>
      </c>
      <c r="AE18" s="932">
        <f t="shared" si="5"/>
        <v>153</v>
      </c>
      <c r="AF18" s="932">
        <f t="shared" si="5"/>
        <v>0</v>
      </c>
      <c r="AG18" s="932">
        <f t="shared" si="5"/>
        <v>0</v>
      </c>
      <c r="AH18" s="932">
        <f t="shared" si="5"/>
        <v>0</v>
      </c>
      <c r="AI18" s="932">
        <f t="shared" si="5"/>
        <v>0</v>
      </c>
      <c r="AJ18" s="932">
        <f t="shared" si="5"/>
        <v>131</v>
      </c>
      <c r="AK18" s="932">
        <f t="shared" si="5"/>
        <v>414</v>
      </c>
      <c r="AL18" s="932">
        <f t="shared" si="5"/>
        <v>0</v>
      </c>
      <c r="AM18" s="932">
        <f t="shared" si="5"/>
        <v>0</v>
      </c>
      <c r="AN18" s="932">
        <f t="shared" si="5"/>
        <v>0</v>
      </c>
      <c r="AO18" s="934">
        <f>IF(ISNUMBER(((NºAsuntos!I18/NºAsuntos!G18)*11)/factor_trimestre),((NºAsuntos!I18/NºAsuntos!G18)*11)/factor_trimestre," - ")</f>
        <v>6.0779220779220777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1563</v>
      </c>
      <c r="G19" s="820">
        <f t="shared" si="7"/>
        <v>1629</v>
      </c>
      <c r="H19" s="821">
        <f t="shared" si="7"/>
        <v>0</v>
      </c>
      <c r="I19" s="820">
        <f t="shared" si="7"/>
        <v>0</v>
      </c>
      <c r="J19" s="822">
        <f t="shared" si="7"/>
        <v>0</v>
      </c>
      <c r="K19" s="820">
        <f t="shared" si="7"/>
        <v>0</v>
      </c>
      <c r="L19" s="823">
        <f t="shared" si="7"/>
        <v>0</v>
      </c>
      <c r="M19" s="820">
        <f t="shared" si="7"/>
        <v>0</v>
      </c>
      <c r="N19" s="821">
        <f t="shared" si="7"/>
        <v>234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858</v>
      </c>
      <c r="Z19" s="827">
        <f t="shared" si="8"/>
        <v>162</v>
      </c>
      <c r="AA19" s="828">
        <f t="shared" si="8"/>
        <v>1748</v>
      </c>
      <c r="AB19" s="828">
        <f t="shared" si="8"/>
        <v>0</v>
      </c>
      <c r="AC19" s="828">
        <f t="shared" si="8"/>
        <v>0</v>
      </c>
      <c r="AD19" s="829">
        <f t="shared" si="8"/>
        <v>0</v>
      </c>
      <c r="AE19" s="829">
        <f t="shared" si="8"/>
        <v>7513</v>
      </c>
      <c r="AF19" s="830">
        <f t="shared" si="8"/>
        <v>0</v>
      </c>
      <c r="AG19" s="831">
        <f t="shared" si="8"/>
        <v>0</v>
      </c>
      <c r="AH19" s="832">
        <f t="shared" si="8"/>
        <v>0</v>
      </c>
      <c r="AI19" s="830">
        <f t="shared" si="8"/>
        <v>0</v>
      </c>
      <c r="AJ19" s="820">
        <f t="shared" si="8"/>
        <v>412</v>
      </c>
      <c r="AK19" s="820">
        <f t="shared" si="8"/>
        <v>888</v>
      </c>
      <c r="AL19" s="820">
        <f t="shared" si="8"/>
        <v>0</v>
      </c>
      <c r="AM19" s="833">
        <f t="shared" si="8"/>
        <v>0</v>
      </c>
      <c r="AN19" s="823">
        <f>IF(ISNUMBER(Datos!K19/Datos!J19),Datos!K19/Datos!J19," - ")</f>
        <v>0.71730116848850356</v>
      </c>
      <c r="AO19" s="823">
        <f>IF(ISNUMBER(FIND("06",Criterios!A8,1)),(IF(ISNUMBER(((Datos!R19/Datos!Q19)*11)/factor_trimestre),((Datos!R19/Datos!Q19)*11)/factor_trimestre," - ")),(IF(ISNUMBER(((Datos!L19/Datos!K19)*11)/factor_trimestre),((Datos!L19/Datos!K19)*11)/factor_trimestre," - ")))</f>
        <v>10.223331581713087</v>
      </c>
      <c r="AP19" s="834" t="str">
        <f>IF(ISNUMBER(Datos!CI19/Datos!CJ19),Datos!CI19/Datos!CJ19," - ")</f>
        <v xml:space="preserve"> - </v>
      </c>
      <c r="AQ19" s="834">
        <f>IF(OR(ISNUMBER(FIND("01",Criterios!A8,1)),ISNUMBER(FIND("02",Criterios!A8,1)),ISNUMBER(FIND("03",Criterios!A8,1)),ISNUMBER(FIND("04",Criterios!A8,1))),(J19-Y19+K19)/(F19-K19),(I19-Y19+K19)/(F19-K19))</f>
        <v>-0.54894433781190022</v>
      </c>
      <c r="AR19" s="834">
        <f>IF(ISNUMBER((Datos!P19-Datos!Q19+O19)/(Datos!R19-Datos!P19+Datos!Q19-O19)),(Datos!P19-Datos!Q19+O19)/(Datos!R19-Datos!P19+Datos!Q19-O19)," - ")</f>
        <v>9.6761188012363924E-3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858.51985028497359</v>
      </c>
      <c r="G21" s="552">
        <f>IF(ISNUMBER(STDEV(G8:G18)),STDEV(G8:G18),"-")</f>
        <v>827.39367897029524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120.68581800139843</v>
      </c>
      <c r="AK21" s="252"/>
      <c r="AL21" s="252">
        <f>IF(ISNUMBER(STDEV(AL8:AL18)),STDEV(AL8:AL18),"-")</f>
        <v>0</v>
      </c>
      <c r="AM21" s="254">
        <f>IF(ISNUMBER(STDEV(AM8:AM18)),STDEV(AM8:AM18),"-")</f>
        <v>0</v>
      </c>
      <c r="AN21" s="539">
        <f>IF(ISNUMBER(STDEV(AN8:AN18)),STDEV(AN8:AN18),"-")</f>
        <v>0</v>
      </c>
      <c r="AO21" s="540">
        <f>IF(ISNUMBER(STDEV(AO8:AO18)),STDEV(AO8:AO18),"-")</f>
        <v>4.4230988938520168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NZZtPPIqa41mHkttPpXaydT2+ruSVScDOxjfoi99b3bM/dUF2fEnO0xzhCl4MOgiQF3Uni9RZE9JUZd51oSYQ==" saltValue="+SNAByqyhGKK9MJB2md+T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oCadXbHd9kPzFxPwMmilOrU4J2cmg++vZuHozQkVrpS6HRvt0GWVhzegd/PyqvxCm7ejosu6gSbEKQhFDYP2g==" saltValue="YLTM+8tvpnTFgPogYko6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E2UShu4H1T3/AqMlhhLFbilkx1vRr7D55KiFYUrm02xSCAXLCCPYwhZFZDrhUseyO0ikKTMLoweCmpmSH+yQ==" saltValue="wlT9gUIlIm4kEWm+dhANd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0.24498692240627726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0.17323191413550118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krQZTcvK1ibJYfEjrrqY5KNQf8O5nJKVRLvT2FMmDz6NFrNJ3CHHB50iRixHwkPZVIYQyYNPi5fP1Q7y6movw==" saltValue="FzN/mBDHpvOuhvtEopvbd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aK7IrWo9G4TN1uyRPiWJ8iYiysMWFccfFX5bYFwdxn9pOEOn8zEugol6aJJbXfZW8aAuHSiRgQODDuwL3PWCw==" saltValue="4pystSdKZ+bRp4f0ixaK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5</v>
      </c>
      <c r="F10" s="404">
        <f>IF(ISNUMBER(E10/B10),E10/B10," - ")</f>
        <v>5</v>
      </c>
      <c r="G10" s="403">
        <f>IF(ISNUMBER(Datos!K10),Datos!K10," - ")</f>
        <v>11</v>
      </c>
      <c r="H10" s="404">
        <f>IF(ISNUMBER(G10/B10),G10/B10," - ")</f>
        <v>11</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4196</v>
      </c>
      <c r="D12" s="404">
        <f>IF(ISNUMBER(C12/Datos!BH12),C12/Datos!BH12," - ")</f>
        <v>1049</v>
      </c>
      <c r="E12" s="403">
        <f>IF(ISNUMBER(IF(J_V="SI",Datos!J12,Datos!J12+Datos!Z12)),IF(J_V="SI",Datos!J12,Datos!J12+Datos!Z12)," - ")</f>
        <v>1780</v>
      </c>
      <c r="F12" s="404">
        <f>IF(ISNUMBER(E12/B12),E12/B12," - ")</f>
        <v>445</v>
      </c>
      <c r="G12" s="403">
        <f>IF(ISNUMBER(IF(J_V="SI",Datos!K12,Datos!K12+Datos!AA12)),IF(J_V="SI",Datos!K12,Datos!K12+Datos!AA12)," - ")</f>
        <v>1136</v>
      </c>
      <c r="H12" s="404">
        <f>IF(ISNUMBER(G12/B12),G12/B12," - ")</f>
        <v>284</v>
      </c>
      <c r="I12" s="403">
        <f>IF(ISNUMBER(IF(J_V="SI",Datos!L12,Datos!L12+Datos!AB12)),IF(J_V="SI",Datos!L12,Datos!L12+Datos!AB12)," - ")</f>
        <v>4845</v>
      </c>
      <c r="J12" s="404">
        <f>IF(ISNUMBER(I12/B12),I12/B12," - ")</f>
        <v>1211.25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4234</v>
      </c>
      <c r="D13" s="850" t="str">
        <f>IF(ISNUMBER(C13/Datos!BI13),C13/Datos!BI13," - ")</f>
        <v xml:space="preserve"> - </v>
      </c>
      <c r="E13" s="849">
        <f>SUBTOTAL(9,E8:E12)</f>
        <v>1785</v>
      </c>
      <c r="F13" s="850">
        <f>IF(ISNUMBER(E13/B13),E13/B13," - ")</f>
        <v>446.25</v>
      </c>
      <c r="G13" s="849">
        <f>SUBTOTAL(9,G8:G12)</f>
        <v>1147</v>
      </c>
      <c r="H13" s="850">
        <f>IF(ISNUMBER(G13/B13),G13/B13," - ")</f>
        <v>286.75</v>
      </c>
      <c r="I13" s="849">
        <f>SUBTOTAL(9,I8:I12)</f>
        <v>4877</v>
      </c>
      <c r="J13" s="850">
        <f>IF(ISNUMBER(I13/B13),I13/B13," - ")</f>
        <v>1219.25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1524</v>
      </c>
      <c r="D16" s="404">
        <f>IF(ISNUMBER(C16/Datos!BH16),C16/Datos!BH16," - ")</f>
        <v>381</v>
      </c>
      <c r="E16" s="403">
        <f>IF(ISNUMBER(IF(D_I="SI",Datos!J16,Datos!J16+Datos!AD16)),IF(D_I="SI",Datos!J16,Datos!J16+Datos!AD16)," - ")</f>
        <v>811</v>
      </c>
      <c r="F16" s="404">
        <f>IF(ISNUMBER(E16/B16),E16/B16," - ")</f>
        <v>202.75</v>
      </c>
      <c r="G16" s="403">
        <f>IF(ISNUMBER(IF(D_I="SI",Datos!K16,Datos!K16+Datos!AE16)),IF(D_I="SI",Datos!K16,Datos!K16+Datos!AE16)," - ")</f>
        <v>681</v>
      </c>
      <c r="H16" s="404">
        <f>IF(ISNUMBER(G16/B16),G16/B16," - ")</f>
        <v>170.25</v>
      </c>
      <c r="I16" s="403">
        <f>IF(ISNUMBER(IF(D_I="SI",Datos!L16,Datos!L16+Datos!AF16)),IF(D_I="SI",Datos!L16,Datos!L16+Datos!AF16)," - ")</f>
        <v>1655</v>
      </c>
      <c r="J16" s="404">
        <f>IF(ISNUMBER(I16/B16),I16/B16," - ")</f>
        <v>413.75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160</v>
      </c>
      <c r="F17" s="404">
        <f>IF(ISNUMBER(E17/B17),E17/B17," - ")</f>
        <v>160</v>
      </c>
      <c r="G17" s="403">
        <f>IF(ISNUMBER(IF(D_I="SI",Datos!K17,Datos!K17+Datos!AE17)),IF(D_I="SI",Datos!K17,Datos!K17+Datos!AE17)," - ")</f>
        <v>166</v>
      </c>
      <c r="H17" s="404">
        <f>IF(ISNUMBER(G17/B17),G17/B17," - ")</f>
        <v>166</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1591</v>
      </c>
      <c r="D18" s="850" t="str">
        <f>IF(ISNUMBER(C18/Datos!BI18),C18/Datos!BI18," - ")</f>
        <v xml:space="preserve"> - </v>
      </c>
      <c r="E18" s="849">
        <f>SUBTOTAL(9,E14:E17)</f>
        <v>971</v>
      </c>
      <c r="F18" s="850">
        <f>IF(ISNUMBER(E18/B18),E18/B18," - ")</f>
        <v>242.75</v>
      </c>
      <c r="G18" s="849">
        <f>SUBTOTAL(9,G14:G17)</f>
        <v>847</v>
      </c>
      <c r="H18" s="850">
        <f>IF(ISNUMBER(G18/B18),G18/B18," - ")</f>
        <v>211.75</v>
      </c>
      <c r="I18" s="849">
        <f>SUBTOTAL(9,I14:I17)</f>
        <v>1716</v>
      </c>
      <c r="J18" s="850">
        <f>IF(ISNUMBER(I18/B18),I18/B18," - ")</f>
        <v>429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5825</v>
      </c>
      <c r="D19" s="795" t="str">
        <f>IF(ISNUMBER(C19/Datos!BI19),C19/Datos!BI19," - ")</f>
        <v xml:space="preserve"> - </v>
      </c>
      <c r="E19" s="794">
        <f>SUBTOTAL(9,E9:E18)</f>
        <v>2756</v>
      </c>
      <c r="F19" s="795">
        <f>IF(ISNUMBER(E19/B19),E19/B19," - ")</f>
        <v>689</v>
      </c>
      <c r="G19" s="794">
        <f>SUBTOTAL(9,G9:G18)</f>
        <v>1994</v>
      </c>
      <c r="H19" s="795">
        <f>IF(ISNUMBER(G19/B19),G19/B19," - ")</f>
        <v>498.5</v>
      </c>
      <c r="I19" s="794">
        <f>SUBTOTAL(9,I9:I18)</f>
        <v>6593</v>
      </c>
      <c r="J19" s="795">
        <f>IF(ISNUMBER(I19/B19),I19/B19," - ")</f>
        <v>1648.25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CI7kY63ZoGEiUwWcL8YYpIdAm3fSXL96Pzjj0sgazz2whQESNYwlP9KIwTeefruwN9Yn+ReilJ67fh5KFaY9g==" saltValue="XUqOMS6DBowfgHHlC/Q1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8.7272727272727284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274</v>
      </c>
      <c r="AM12" s="690">
        <f>IF(ISNUMBER(Datos!N12+DatosP!N16),Datos!N12+DatosP!N16," - ")</f>
        <v>469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12.794894366197184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1.1581414587067421E-2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231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145</v>
      </c>
      <c r="AE13" s="939">
        <f t="shared" si="1"/>
        <v>0</v>
      </c>
      <c r="AF13" s="939">
        <f t="shared" si="1"/>
        <v>32</v>
      </c>
      <c r="AG13" s="939">
        <f t="shared" si="1"/>
        <v>0</v>
      </c>
      <c r="AH13" s="939">
        <f t="shared" si="1"/>
        <v>7337</v>
      </c>
      <c r="AI13" s="939">
        <f t="shared" si="1"/>
        <v>0</v>
      </c>
      <c r="AJ13" s="939">
        <f t="shared" si="1"/>
        <v>0</v>
      </c>
      <c r="AK13" s="939">
        <f t="shared" si="1"/>
        <v>0</v>
      </c>
      <c r="AL13" s="939">
        <f t="shared" si="1"/>
        <v>281</v>
      </c>
      <c r="AM13" s="939">
        <f t="shared" si="1"/>
        <v>474</v>
      </c>
      <c r="AN13" s="939">
        <f t="shared" si="1"/>
        <v>0</v>
      </c>
      <c r="AO13" s="939">
        <f t="shared" si="1"/>
        <v>0</v>
      </c>
      <c r="AP13" s="944">
        <f>IF(ISNUMBER(((Datos!L13/Datos!K13)*11)/factor_trimestre),((Datos!L13/Datos!K13)*11)/factor_trimestre," - ")</f>
        <v>13.548295454545453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-0.28947368421052633</v>
      </c>
      <c r="AU13" s="939" t="str">
        <f>IF(ISNUMBER((DatosP!#REF!-DatosP!#REF!+DatosP!#REF!)/(DatosP!#REF!+DatosP!#REF!-DatosP!#REF!-DatosP!#REF!)),(DatosP!#REF!-DatosP!#REF!+DatosP!#REF!)/(DatosP!#REF!+DatosP!#REF!-DatosP!#REF!-DatosP!#REF!)," - ")</f>
        <v xml:space="preserve"> - </v>
      </c>
      <c r="AV13" s="945">
        <f>SUBTOTAL(9,AV9:AV12)</f>
        <v>1.1581414587067421E-2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6.0779220779220777</v>
      </c>
      <c r="AQ18" s="944">
        <f>IF(ISNUMBER(((Datos!M18/Datos!L18)*11)/factor_trimestre),((Datos!M18/Datos!L18)*11)/factor_trimestre," - ")</f>
        <v>0.22902097902097901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-7.8313253012048195E-2</v>
      </c>
      <c r="AW18" s="946">
        <f>IF(ISNUMBER((Datos!Q18-Datos!R18)/(Datos!S18-Datos!Q18+Datos!R18)),(Datos!Q18-Datos!R18)/(Datos!S18-Datos!Q18+Datos!R18)," - ")</f>
        <v>-0.13160422670509125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231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145</v>
      </c>
      <c r="AE19" s="957">
        <f t="shared" si="5"/>
        <v>0</v>
      </c>
      <c r="AF19" s="958">
        <f t="shared" si="5"/>
        <v>32</v>
      </c>
      <c r="AG19" s="958">
        <f t="shared" si="5"/>
        <v>0</v>
      </c>
      <c r="AH19" s="958">
        <f t="shared" si="5"/>
        <v>7337</v>
      </c>
      <c r="AI19" s="958">
        <f t="shared" si="5"/>
        <v>0</v>
      </c>
      <c r="AJ19" s="959">
        <f t="shared" si="5"/>
        <v>0</v>
      </c>
      <c r="AK19" s="959">
        <f t="shared" si="5"/>
        <v>0</v>
      </c>
      <c r="AL19" s="951">
        <f t="shared" si="5"/>
        <v>281</v>
      </c>
      <c r="AM19" s="951">
        <f t="shared" si="5"/>
        <v>474</v>
      </c>
      <c r="AN19" s="951">
        <f t="shared" si="5"/>
        <v>0</v>
      </c>
      <c r="AO19" s="951">
        <f t="shared" si="5"/>
        <v>0</v>
      </c>
      <c r="AP19" s="951">
        <f>IF(ISNUMBER(((Datos!L19/Datos!K19)*11)/factor_trimestre),((Datos!L19/Datos!K19)*11)/factor_trimestre," - ")</f>
        <v>10.223331581713087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-0.28947368421052633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9.6761188012363924E-3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158.24558972264177</v>
      </c>
      <c r="AM21" s="736"/>
      <c r="AN21" s="736">
        <f>IF(ISNUMBER(STDEV(AN8:AN18)),STDEV(AN8:AN18),"-")</f>
        <v>0</v>
      </c>
      <c r="AO21" s="742">
        <f>IF(ISNUMBER(STDEV(AO8:AO18)),STDEV(AO8:AO18),"-")</f>
        <v>0</v>
      </c>
      <c r="AP21" s="779">
        <f>IF(ISNUMBER(STDEV(AP8:AP18)),STDEV(AP8:AP18),"-")</f>
        <v>3.515426397858036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j4hKlSGBEkr3YoU+bWJrQDm0q5dLUAD2C38WUxOeso5I8GZzdMfTmwqkI/XpjjLby83nt7CZDp2m6Q3MU+Wmg==" saltValue="5oDB6H+CIg8tRswGBGFwP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4qijNYafKMjpLOIMQRjAEazmzEc0i43Y61b2TIrGBrh7o4pGNneBX9Dq5xw+Kgg458qE6hXIi0F9VQru4nBRg==" saltValue="iWOH+PQ6RxEdhBlwAfBu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274</v>
      </c>
      <c r="E12" s="404">
        <f t="shared" si="0"/>
        <v>68.5</v>
      </c>
      <c r="F12" s="403">
        <f>IF(ISNUMBER(Datos!N12),Datos!N12," - ")</f>
        <v>469</v>
      </c>
      <c r="G12" s="404">
        <f t="shared" si="1"/>
        <v>117.25</v>
      </c>
      <c r="H12" s="403">
        <f>IF(ISNUMBER(Datos!O12),Datos!O12," - ")</f>
        <v>303</v>
      </c>
      <c r="I12" s="404">
        <f t="shared" si="2"/>
        <v>75.75</v>
      </c>
      <c r="BZ12" s="1186">
        <f>Datos!EZ12</f>
        <v>0</v>
      </c>
    </row>
    <row r="13" spans="1:78" ht="14.25" thickTop="1" thickBot="1">
      <c r="A13" s="848" t="str">
        <f>Datos!A13</f>
        <v>TOTAL</v>
      </c>
      <c r="B13" s="849">
        <f>Datos!AP13</f>
        <v>4</v>
      </c>
      <c r="C13" s="851">
        <f>Datos!AR13</f>
        <v>4</v>
      </c>
      <c r="D13" s="849">
        <f>SUBTOTAL(9,D9:D12)</f>
        <v>281</v>
      </c>
      <c r="E13" s="850">
        <f t="shared" si="0"/>
        <v>70.25</v>
      </c>
      <c r="F13" s="849">
        <f>SUBTOTAL(9,F9:F12)</f>
        <v>474</v>
      </c>
      <c r="G13" s="850">
        <f t="shared" si="1"/>
        <v>118.5</v>
      </c>
      <c r="H13" s="849">
        <f>SUBTOTAL(9,H9:H12)</f>
        <v>304</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121</v>
      </c>
      <c r="E16" s="404">
        <f t="shared" si="3"/>
        <v>30.25</v>
      </c>
      <c r="F16" s="403">
        <f>IF(ISNUMBER(Datos!N16),Datos!N16," - ")</f>
        <v>322</v>
      </c>
      <c r="G16" s="404">
        <f t="shared" si="4"/>
        <v>80.5</v>
      </c>
      <c r="H16" s="403">
        <f>IF(ISNUMBER(Datos!O16),Datos!O16," - ")</f>
        <v>1</v>
      </c>
      <c r="I16" s="404">
        <f t="shared" si="5"/>
        <v>0.25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92</v>
      </c>
      <c r="G17" s="404">
        <f>IF(ISNUMBER(F17/B17),F17/B17," - ")</f>
        <v>92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131</v>
      </c>
      <c r="E18" s="850">
        <f t="shared" si="3"/>
        <v>32.75</v>
      </c>
      <c r="F18" s="849">
        <f>SUBTOTAL(9,F15:F17)</f>
        <v>414</v>
      </c>
      <c r="G18" s="850">
        <f t="shared" si="4"/>
        <v>103.5</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412</v>
      </c>
      <c r="E19" s="795">
        <f>IF(ISNUMBER(D19/B19),D19/B19," - ")</f>
        <v>103</v>
      </c>
      <c r="F19" s="794">
        <f>SUBTOTAL(9,F8:F18)</f>
        <v>888</v>
      </c>
      <c r="G19" s="795">
        <f>IF(ISNUMBER(F19/B19),F19/B19," - ")</f>
        <v>222</v>
      </c>
      <c r="H19" s="794">
        <f>SUBTOTAL(9,H8:H18)</f>
        <v>305</v>
      </c>
      <c r="I19" s="795">
        <f>IF(ISNUMBER(H19/B19),H19/B19," - ")</f>
        <v>76.25</v>
      </c>
    </row>
    <row r="22" spans="1:78">
      <c r="A22" s="391" t="str">
        <f>Criterios!A4</f>
        <v>Fecha Informe: 03 jun. 2025</v>
      </c>
    </row>
    <row r="27" spans="1:78">
      <c r="A27" s="414"/>
    </row>
  </sheetData>
  <sheetProtection algorithmName="SHA-512" hashValue="Xyv7niZePeRROr/2Z8Nlf3e0KC8ETHALWXtjj0ec9oGA+asegW0FoE6SGiXiLMbzc+8MIJ4xxJ/GHx3xk8qdIw==" saltValue="sjKGxECbijQ0J54MRyIS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229</v>
      </c>
      <c r="C12" s="434">
        <f>IF(ISNUMBER(Datos!Q12),Datos!Q12," - ")</f>
        <v>145</v>
      </c>
      <c r="D12" s="408">
        <f>IF(ISNUMBER(Datos!R12),Datos!R12," - ")</f>
        <v>7337</v>
      </c>
    </row>
    <row r="13" spans="1:4" ht="14.25" thickTop="1" thickBot="1">
      <c r="A13" s="848" t="str">
        <f>Datos!A13</f>
        <v>TOTAL</v>
      </c>
      <c r="B13" s="849">
        <f>SUBTOTAL(9,B9:B12)</f>
        <v>231</v>
      </c>
      <c r="C13" s="853">
        <f>SUBTOTAL(9,C9:C12)</f>
        <v>146</v>
      </c>
      <c r="D13" s="851">
        <f>SUBTOTAL(9,D9:D12)</f>
        <v>7360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16</v>
      </c>
      <c r="D16" s="408">
        <f>IF(ISNUMBER(Datos!R16),Datos!R16," - ")</f>
        <v>150</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3</v>
      </c>
      <c r="C18" s="853">
        <f>SUBTOTAL(9,C15:C17)</f>
        <v>16</v>
      </c>
      <c r="D18" s="851">
        <f>SUBTOTAL(9,D15:D17)</f>
        <v>153</v>
      </c>
    </row>
    <row r="19" spans="1:4" ht="16.5" customHeight="1" thickTop="1" thickBot="1">
      <c r="A19" s="793" t="str">
        <f>Datos!A19</f>
        <v>TOTAL JURISDICCIONES</v>
      </c>
      <c r="B19" s="798">
        <f>SUBTOTAL(9,B8:B18)</f>
        <v>234</v>
      </c>
      <c r="C19" s="799">
        <f>SUBTOTAL(9,C8:C18)</f>
        <v>162</v>
      </c>
      <c r="D19" s="800">
        <f>SUBTOTAL(9,D8:D18)</f>
        <v>7513</v>
      </c>
    </row>
    <row r="20" spans="1:4" ht="7.5" customHeight="1"/>
    <row r="21" spans="1:4" ht="6" customHeight="1"/>
    <row r="22" spans="1:4">
      <c r="A22" s="391" t="str">
        <f>Criterios!A4</f>
        <v>Fecha Informe: 03 jun. 2025</v>
      </c>
    </row>
    <row r="27" spans="1:4">
      <c r="A27" s="414"/>
    </row>
  </sheetData>
  <sheetProtection algorithmName="SHA-512" hashValue="RMRyUAqnorgR6+PSbYeqPUMlbnd2pCCocaz6u1VHZ1pufCONLhlk5Xf6kNoP8A65CfcMRAKX6RAV77OS++8aAA==" saltValue="JCPeYEhW9KyuGr7LIZEm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-0.6428571428571429</v>
      </c>
      <c r="D10" s="456">
        <f>IF(ISNUMBER((Datos!K10-Datos!U10)/Datos!U10),(Datos!K10-Datos!U10)/Datos!U10," - ")</f>
        <v>-0.26666666666666666</v>
      </c>
      <c r="E10" s="456">
        <f>IF(ISNUMBER((Datos!L10-Datos!V10)/Datos!V10),(Datos!L10-Datos!V10)/Datos!V10," - ")</f>
        <v>-0.13513513513513514</v>
      </c>
      <c r="F10" s="456">
        <f>IF(ISNUMBER((Datos!M10-Datos!W10)/Datos!W10),(Datos!M10-Datos!W10)/Datos!W10," - ")</f>
        <v>-0.36363636363636365</v>
      </c>
      <c r="G10" s="457">
        <f>IF(ISNUMBER((Datos!N10-Datos!X10)/Datos!X10),(Datos!N10-Datos!X10)/Datos!X10," - ")</f>
        <v>0.66666666666666663</v>
      </c>
      <c r="H10" s="455">
        <f>IF(ISNUMBER(((NºAsuntos!G10/NºAsuntos!E10)-Datos!BD10)/Datos!BD10),((NºAsuntos!G10/NºAsuntos!E10)-Datos!BD10)/Datos!BD10," - ")</f>
        <v>1.0533333333333335</v>
      </c>
      <c r="I10" s="456">
        <f>IF(ISNUMBER(((NºAsuntos!I10/NºAsuntos!G10)-Datos!BE10)/Datos!BE10),((NºAsuntos!I10/NºAsuntos!G10)-Datos!BE10)/Datos!BE10," - ")</f>
        <v>0.17936117936117935</v>
      </c>
      <c r="J10" s="461">
        <f>IF(ISNUMBER((('Resol  Asuntos'!D10/NºAsuntos!G10)-Datos!BF10)/Datos!BF10),(('Resol  Asuntos'!D10/NºAsuntos!G10)-Datos!BF10)/Datos!BF10," - ")</f>
        <v>-0.13223140495867763</v>
      </c>
      <c r="K10" s="462">
        <f>IF(ISNUMBER((((NºAsuntos!C10+NºAsuntos!E10)/NºAsuntos!G10)-Datos!BG10)/Datos!BG10),(((NºAsuntos!C10+NºAsuntos!E10)/NºAsuntos!G10)-Datos!BG10)/Datos!BG10," - ")</f>
        <v>0.1276223776223776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0.31494829207145097</v>
      </c>
      <c r="C12" s="456">
        <f>IF(ISNUMBER(
   IF(J_V="SI",(Datos!J12-Datos!T12)/Datos!T12,(Datos!J12+Datos!Z12-(Datos!T12+Datos!AH12))/(Datos!T12+Datos!AH12))
     ),IF(J_V="SI",(Datos!J12-Datos!T12)/Datos!T12,(Datos!J12+Datos!Z12-(Datos!T12+Datos!AH12))/(Datos!T12+Datos!AH12))," - ")</f>
        <v>6.7786442711457714E-2</v>
      </c>
      <c r="D12" s="456">
        <f>IF(ISNUMBER(
   IF(J_V="SI",(Datos!K12-Datos!U12)/Datos!U12,(Datos!K12+Datos!AA12-(Datos!U12+Datos!AI12))/(Datos!U12+Datos!AI12))
     ),IF(J_V="SI",(Datos!K12-Datos!U12)/Datos!U12,(Datos!K12+Datos!AA12-(Datos!U12+Datos!AI12))/(Datos!U12+Datos!AI12))," - ")</f>
        <v>-0.11388455538221529</v>
      </c>
      <c r="E12" s="456">
        <f>IF(ISNUMBER(
   IF(J_V="SI",(Datos!L12-Datos!V12)/Datos!V12,(Datos!L12+Datos!AB12-(Datos!V12+Datos!AJ12))/(Datos!V12+Datos!AJ12))
     ),IF(J_V="SI",(Datos!L12-Datos!V12)/Datos!V12,(Datos!L12+Datos!AB12-(Datos!V12+Datos!AJ12))/(Datos!V12+Datos!AJ12))," - ")</f>
        <v>0.35486577181208051</v>
      </c>
      <c r="F12" s="456">
        <f>IF(ISNUMBER((Datos!M12-Datos!W12)/Datos!W12),(Datos!M12-Datos!W12)/Datos!W12," - ")</f>
        <v>7.874015748031496E-2</v>
      </c>
      <c r="G12" s="457">
        <f>IF(ISNUMBER((Datos!N12-Datos!X12)/Datos!X12),(Datos!N12-Datos!X12)/Datos!X12," - ")</f>
        <v>-0.30825958702064898</v>
      </c>
      <c r="H12" s="455">
        <f>IF(ISNUMBER(((NºAsuntos!G12/NºAsuntos!E12)-Datos!BD12)/Datos!BD12),((NºAsuntos!G12/NºAsuntos!E12)-Datos!BD12)/Datos!BD12," - ")</f>
        <v>-0.17013795158547915</v>
      </c>
      <c r="I12" s="456">
        <f>IF(ISNUMBER(((NºAsuntos!I12/NºAsuntos!G12)-Datos!BE12)/Datos!BE12),((NºAsuntos!I12/NºAsuntos!G12)-Datos!BE12)/Datos!BE12," - ")</f>
        <v>0.52899464741468949</v>
      </c>
      <c r="J12" s="461">
        <f>IF(ISNUMBER((('Resol  Asuntos'!D12/NºAsuntos!G12)-Datos!BF12)/Datos!BF12),(('Resol  Asuntos'!D12/NºAsuntos!G12)-Datos!BF12)/Datos!BF12," - ")</f>
        <v>-0.54393099007021484</v>
      </c>
      <c r="K12" s="462">
        <f>IF(ISNUMBER((((NºAsuntos!C12+NºAsuntos!E12)/NºAsuntos!G12)-Datos!BG12)/Datos!BG12),(((NºAsuntos!C12+NºAsuntos!E12)/NºAsuntos!G12)-Datos!BG12)/Datos!BG12," - ")</f>
        <v>0.38823430496523814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0.31124187054815733</v>
      </c>
      <c r="C13" s="855">
        <f>IF(ISNUMBER(
   IF(J_V="SI",(Datos!J13-Datos!T13)/Datos!T13,(Datos!J13+Datos!Z13-(Datos!T13+Datos!AH13))/(Datos!T13+Datos!AH13))
     ),IF(J_V="SI",(Datos!J13-Datos!T13)/Datos!T13,(Datos!J13+Datos!Z13-(Datos!T13+Datos!AH13))/(Datos!T13+Datos!AH13))," - ")</f>
        <v>6.1867935752528254E-2</v>
      </c>
      <c r="D13" s="855">
        <f>IF(ISNUMBER(
   IF(J_V="SI",(Datos!K13-Datos!U13)/Datos!U13,(Datos!K13+Datos!AA13-(Datos!U13+Datos!AI13))/(Datos!U13+Datos!AI13))
     ),IF(J_V="SI",(Datos!K13-Datos!U13)/Datos!U13,(Datos!K13+Datos!AA13-(Datos!U13+Datos!AI13))/(Datos!U13+Datos!AI13))," - ")</f>
        <v>-0.1156515034695451</v>
      </c>
      <c r="E13" s="855">
        <f>IF(ISNUMBER(
   IF(J_V="SI",(Datos!L13-Datos!V13)/Datos!V13,(Datos!L13+Datos!AB13-(Datos!V13+Datos!AJ13))/(Datos!V13+Datos!AJ13))
     ),IF(J_V="SI",(Datos!L13-Datos!V13)/Datos!V13,(Datos!L13+Datos!AB13-(Datos!V13+Datos!AJ13))/(Datos!V13+Datos!AJ13))," - ")</f>
        <v>0.34984777193468031</v>
      </c>
      <c r="F13" s="856">
        <f>IF(ISNUMBER((Datos!M13-Datos!W13)/Datos!W13),(Datos!M13-Datos!W13)/Datos!W13," - ")</f>
        <v>6.0377358490566038E-2</v>
      </c>
      <c r="G13" s="857">
        <f>IF(ISNUMBER((Datos!N13-Datos!X13)/Datos!X13),(Datos!N13-Datos!X13)/Datos!X13," - ")</f>
        <v>-0.30396475770925108</v>
      </c>
      <c r="H13" s="857">
        <f>IF(ISNUMBER(((NºAsuntos!G13/NºAsuntos!E13)-Datos!BD13)/Datos!BD13),((NºAsuntos!G13/NºAsuntos!E13)-Datos!BD13)/Datos!BD13," - ")</f>
        <v>-0.16717656993406455</v>
      </c>
      <c r="I13" s="857">
        <f>IF(ISNUMBER(((NºAsuntos!I13/NºAsuntos!G13)-Datos!BE13)/Datos!BE13),((NºAsuntos!I13/NºAsuntos!G13)-Datos!BE13)/Datos!BE13," - ")</f>
        <v>0.5263753794239584</v>
      </c>
      <c r="J13" s="857">
        <f>IF(ISNUMBER((('Resol  Asuntos'!D13/NºAsuntos!G13)-Datos!BF13)/Datos!BF13),(('Resol  Asuntos'!D13/NºAsuntos!G13)-Datos!BF13)/Datos!BF13," - ")</f>
        <v>-0.53882723024536772</v>
      </c>
      <c r="K13" s="857">
        <f>IF(ISNUMBER((((NºAsuntos!C13+NºAsuntos!E13)/NºAsuntos!G13)-Datos!BG13)/Datos!BG13),(((NºAsuntos!C13+NºAsuntos!E13)/NºAsuntos!G13)-Datos!BG13)/Datos!BG13," - ")</f>
        <v>0.38617930064615569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0.80997624703087889</v>
      </c>
      <c r="C16" s="456">
        <f>IF(ISNUMBER(
   IF(D_I="SI",(Datos!J16-Datos!T16)/Datos!T16,(Datos!J16+Datos!AD16-(Datos!T16+Datos!AL16))/(Datos!T16+Datos!AL16))
     ),IF(D_I="SI",(Datos!J16-Datos!T16)/Datos!T16,(Datos!J16+Datos!AD16-(Datos!T16+Datos!AL16))/(Datos!T16+Datos!AL16))," - ")</f>
        <v>-5.8072009291521488E-2</v>
      </c>
      <c r="D16" s="456">
        <f>IF(ISNUMBER(
   IF(D_I="SI",(Datos!K16-Datos!U16)/Datos!U16,(Datos!K16+Datos!AE16-(Datos!U16+Datos!AM16))/(Datos!U16+Datos!AM16))
     ),IF(D_I="SI",(Datos!K16-Datos!U16)/Datos!U16,(Datos!K16+Datos!AE16-(Datos!U16+Datos!AM16))/(Datos!U16+Datos!AM16))," - ")</f>
        <v>-2.7142857142857142E-2</v>
      </c>
      <c r="E16" s="456">
        <f>IF(ISNUMBER(
   IF(D_I="SI",(Datos!L16-Datos!V16)/Datos!V16,(Datos!L16+Datos!AF16-(Datos!V16+Datos!AN16))/(Datos!V16+Datos!AN16))
     ),IF(D_I="SI",(Datos!L16-Datos!V16)/Datos!V16,(Datos!L16+Datos!AF16-(Datos!V16+Datos!AN16))/(Datos!V16+Datos!AN16))," - ")</f>
        <v>0.65004985044865404</v>
      </c>
      <c r="F16" s="456">
        <f>IF(ISNUMBER((Datos!M16-Datos!W16)/Datos!W16),(Datos!M16-Datos!W16)/Datos!W16," - ")</f>
        <v>0.47560975609756095</v>
      </c>
      <c r="G16" s="457">
        <f>IF(ISNUMBER((Datos!N16-Datos!X16)/Datos!X16),(Datos!N16-Datos!X16)/Datos!X16," - ")</f>
        <v>3.2051282051282048E-2</v>
      </c>
      <c r="H16" s="455">
        <f>IF(ISNUMBER(((NºAsuntos!G16/NºAsuntos!E16)-Datos!BD16)/Datos!BD16),((NºAsuntos!G16/NºAsuntos!E16)-Datos!BD16)/Datos!BD16," - ")</f>
        <v>3.2836004932182472E-2</v>
      </c>
      <c r="I16" s="456">
        <f>IF(ISNUMBER(((NºAsuntos!I16/NºAsuntos!G16)-Datos!BE16)/Datos!BE16),((NºAsuntos!I16/NºAsuntos!G16)-Datos!BE16)/Datos!BE16," - ")</f>
        <v>0.69608648357424063</v>
      </c>
      <c r="J16" s="461">
        <f>IF(ISNUMBER((('Resol  Asuntos'!D16/NºAsuntos!G16)-Datos!BF16)/Datos!BF16),(('Resol  Asuntos'!D16/NºAsuntos!G16)-Datos!BF16)/Datos!BF16," - ")</f>
        <v>0.51677948497546644</v>
      </c>
      <c r="K16" s="462">
        <f>IF(ISNUMBER((((NºAsuntos!C16+NºAsuntos!E16)/NºAsuntos!G16)-Datos!BG16)/Datos!BG16),(((NºAsuntos!C16+NºAsuntos!E16)/NºAsuntos!G16)-Datos!BG16)/Datos!BG16," - ")</f>
        <v>0.40936397115567841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8.0645161290322578E-2</v>
      </c>
      <c r="C17" s="456">
        <f>IF(ISNUMBER(
   IF(D_I="SI",(Datos!J17-Datos!T17)/Datos!T17,(Datos!J17+Datos!AD17-(Datos!T17+Datos!AL17))/(Datos!T17+Datos!AL17))
     ),IF(D_I="SI",(Datos!J17-Datos!T17)/Datos!T17,(Datos!J17+Datos!AD17-(Datos!T17+Datos!AL17))/(Datos!T17+Datos!AL17))," - ")</f>
        <v>0.37931034482758619</v>
      </c>
      <c r="D17" s="456">
        <f>IF(ISNUMBER(
   IF(D_I="SI",(Datos!K17-Datos!U17)/Datos!U17,(Datos!K17+Datos!AE17-(Datos!U17+Datos!AM17))/(Datos!U17+Datos!AM17))
     ),IF(D_I="SI",(Datos!K17-Datos!U17)/Datos!U17,(Datos!K17+Datos!AE17-(Datos!U17+Datos!AM17))/(Datos!U17+Datos!AM17))," - ")</f>
        <v>0.25757575757575757</v>
      </c>
      <c r="E17" s="456">
        <f>IF(ISNUMBER(
   IF(D_I="SI",(Datos!L17-Datos!V17)/Datos!V17,(Datos!L17+Datos!AF17-(Datos!V17+Datos!AN17))/(Datos!V17+Datos!AN17))
     ),IF(D_I="SI",(Datos!L17-Datos!V17)/Datos!V17,(Datos!L17+Datos!AF17-(Datos!V17+Datos!AN17))/(Datos!V17+Datos!AN17))," - ")</f>
        <v>0.32608695652173914</v>
      </c>
      <c r="F17" s="456">
        <f>IF(ISNUMBER((Datos!M17-Datos!W17)/Datos!W17),(Datos!M17-Datos!W17)/Datos!W17," - ")</f>
        <v>-0.52380952380952384</v>
      </c>
      <c r="G17" s="457">
        <f>IF(ISNUMBER((Datos!N17-Datos!X17)/Datos!X17),(Datos!N17-Datos!X17)/Datos!X17," - ")</f>
        <v>0.46031746031746029</v>
      </c>
      <c r="H17" s="455">
        <f>IF(ISNUMBER(((NºAsuntos!G17/NºAsuntos!E17)-Datos!BD17)/Datos!BD17),((NºAsuntos!G17/NºAsuntos!E17)-Datos!BD17)/Datos!BD17," - ")</f>
        <v>-8.8257575757575729E-2</v>
      </c>
      <c r="I17" s="456">
        <f>IF(ISNUMBER(((NºAsuntos!I17/NºAsuntos!G17)-Datos!BE17)/Datos!BE17),((NºAsuntos!I17/NºAsuntos!G17)-Datos!BE17)/Datos!BE17," - ")</f>
        <v>5.4478784704033507E-2</v>
      </c>
      <c r="J17" s="461">
        <f>IF(ISNUMBER((('Resol  Asuntos'!D17/NºAsuntos!G17)-Datos!BF17)/Datos!BF17),(('Resol  Asuntos'!D17/NºAsuntos!G17)-Datos!BF17)/Datos!BF17," - ")</f>
        <v>-0.62134251290877796</v>
      </c>
      <c r="K17" s="462">
        <f>IF(ISNUMBER((((NºAsuntos!C17+NºAsuntos!E17)/NºAsuntos!G17)-Datos!BG17)/Datos!BG17),(((NºAsuntos!C17+NºAsuntos!E17)/NºAsuntos!G17)-Datos!BG17)/Datos!BG17," - ")</f>
        <v>1.4078787058345739E-2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0.75995575221238942</v>
      </c>
      <c r="C18" s="855">
        <f>IF(ISNUMBER(
   IF(Criterios!B14="SI",(Datos!J18-Datos!T18)/Datos!T18,(Datos!J18+Datos!AD18-(Datos!T18+Datos!AL18))/(Datos!T18+Datos!AL18))
     ),IF(Criterios!B14="SI",(Datos!J18-Datos!T18)/Datos!T18,(Datos!J18+Datos!AD18-(Datos!T18+Datos!AL18))/(Datos!T18+Datos!AL18))," - ")</f>
        <v>-6.1412487205731829E-3</v>
      </c>
      <c r="D18" s="855">
        <f>IF(ISNUMBER(
   IF(Criterios!B14="SI",(Datos!K18-Datos!U18)/Datos!U18,(Datos!K18+Datos!AE18-(Datos!U18+Datos!AM18))/(Datos!U18+Datos!AM18))
     ),IF(Criterios!B14="SI",(Datos!K18-Datos!U18)/Datos!U18,(Datos!K18+Datos!AE18-(Datos!U18+Datos!AM18))/(Datos!U18+Datos!AM18))," - ")</f>
        <v>1.8028846153846152E-2</v>
      </c>
      <c r="E18" s="855">
        <f>IF(ISNUMBER(
   IF(Criterios!B14="SI",(Datos!L18-Datos!V18)/Datos!V18,(Datos!L18+Datos!AF18-(Datos!V18+Datos!AN18))/(Datos!V18+Datos!AN18))
     ),IF(Criterios!B14="SI",(Datos!L18-Datos!V18)/Datos!V18,(Datos!L18+Datos!AF18-(Datos!V18+Datos!AN18))/(Datos!V18+Datos!AN18))," - ")</f>
        <v>0.63584366062917064</v>
      </c>
      <c r="F18" s="856">
        <f>IF(ISNUMBER((Datos!M18-Datos!W18)/Datos!W18),(Datos!M18-Datos!W18)/Datos!W18," - ")</f>
        <v>0.27184466019417475</v>
      </c>
      <c r="G18" s="857">
        <f>IF(ISNUMBER((Datos!N18-Datos!X18)/Datos!X18),(Datos!N18-Datos!X18)/Datos!X18," - ")</f>
        <v>0.104</v>
      </c>
      <c r="H18" s="857">
        <f>IF(ISNUMBER(((NºAsuntos!G18/NºAsuntos!E18)-Datos!BD18)/Datos!BD18),((NºAsuntos!G18/NºAsuntos!E18)-Datos!BD18)/Datos!BD18," - ")</f>
        <v>2.4319446645012999E-2</v>
      </c>
      <c r="I18" s="857">
        <f>IF(ISNUMBER(((NºAsuntos!I18/NºAsuntos!G18)-Datos!BE18)/Datos!BE18),((NºAsuntos!I18/NºAsuntos!G18)-Datos!BE18)/Datos!BE18," - ")</f>
        <v>0.60687358399465152</v>
      </c>
      <c r="J18" s="857">
        <f>IF(ISNUMBER((('Resol  Asuntos'!D18/NºAsuntos!G18)-Datos!BF18)/Datos!BF18),(('Resol  Asuntos'!D18/NºAsuntos!G18)-Datos!BF18)/Datos!BF18," - ")</f>
        <v>0.24932084684953162</v>
      </c>
      <c r="K18" s="857">
        <f>IF(ISNUMBER((((NºAsuntos!C18+NºAsuntos!E18)/NºAsuntos!G18)-Datos!BG18)/Datos!BG18),(((NºAsuntos!C18+NºAsuntos!E18)/NºAsuntos!G18)-Datos!BG18)/Datos!BG18," - ")</f>
        <v>0.33792030790725897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0.40938785385918219</v>
      </c>
      <c r="C19" s="802">
        <f>IF(ISNUMBER(
   IF(J_V="SI",(Datos!J19-Datos!T19)/Datos!T19,(Datos!J19+Datos!Z19-(Datos!T19+Datos!AH19))/(Datos!T19+Datos!AH19))
     ),IF(J_V="SI",(Datos!J19-Datos!T19)/Datos!T19,(Datos!J19+Datos!Z19-(Datos!T19+Datos!AH19))/(Datos!T19+Datos!AH19))," - ")</f>
        <v>3.6869826937547028E-2</v>
      </c>
      <c r="D19" s="802">
        <f>IF(ISNUMBER(
   IF(J_V="SI",(Datos!K19-Datos!U19)/Datos!U19,(Datos!K19+Datos!AA19-(Datos!U19+Datos!AI19))/(Datos!U19+Datos!AI19))
     ),IF(J_V="SI",(Datos!K19-Datos!U19)/Datos!U19,(Datos!K19+Datos!AA19-(Datos!U19+Datos!AI19))/(Datos!U19+Datos!AI19))," - ")</f>
        <v>-6.3410051667449507E-2</v>
      </c>
      <c r="E19" s="802">
        <f>IF(ISNUMBER(
   IF(J_V="SI",(Datos!L19-Datos!V19)/Datos!V19,(Datos!L19+Datos!AB19-(Datos!V19+Datos!AJ19))/(Datos!V19+Datos!AJ19))
     ),IF(J_V="SI",(Datos!L19-Datos!V19)/Datos!V19,(Datos!L19+Datos!AB19-(Datos!V19+Datos!AJ19))/(Datos!V19+Datos!AJ19))," - ")</f>
        <v>0.4141999141999142</v>
      </c>
      <c r="F19" s="803">
        <f>IF(ISNUMBER((Datos!M19-Datos!W19)/Datos!W19),(Datos!M19-Datos!W19)/Datos!W19," - ")</f>
        <v>0.11956521739130435</v>
      </c>
      <c r="G19" s="804">
        <f>IF(ISNUMBER((Datos!N19-Datos!X19)/Datos!X19),(Datos!N19-Datos!X19)/Datos!X19," - ")</f>
        <v>-0.15909090909090909</v>
      </c>
      <c r="H19" s="805">
        <f>IF(ISNUMBER((Tasas!B19-Datos!BD19)/Datos!BD19),(Tasas!B19-Datos!BD19)/Datos!BD19," - ")</f>
        <v>-9.6714048378839124E-2</v>
      </c>
      <c r="I19" s="806">
        <f>IF(ISNUMBER((Tasas!C19-Datos!BE19)/Datos!BE19),(Tasas!C19-Datos!BE19)/Datos!BE19," - ")</f>
        <v>0.50994564560261657</v>
      </c>
      <c r="J19" s="807">
        <f>IF(ISNUMBER((Tasas!D19-Datos!BF19)/Datos!BF19),(Tasas!D19-Datos!BF19)/Datos!BF19," - ")</f>
        <v>-0.44457868555160429</v>
      </c>
      <c r="K19" s="807">
        <f>IF(ISNUMBER((Tasas!E19-Datos!BG19)/Datos!BG19),(Tasas!E19-Datos!BG19)/Datos!BG19," - ")</f>
        <v>0.34913273172484627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gEDN+2d16F8uD0UTSngKEroHkbA/3vSMyMQ6UZENn7vx1RVAbpNUAgllJLAj01qLGzxF7dG3FDEr8kWTAVLRg==" saltValue="mq/boNBWCfQ2CqVJA6EZ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2.2000000000000002</v>
      </c>
      <c r="C10" s="443">
        <f>IF(ISNUMBER(NºAsuntos!I10/NºAsuntos!G10),NºAsuntos!I10/NºAsuntos!G10," - ")</f>
        <v>2.9090909090909092</v>
      </c>
      <c r="D10" s="444">
        <f>IF(ISNUMBER('Resol  Asuntos'!D10/NºAsuntos!G10),'Resol  Asuntos'!D10/NºAsuntos!G10," - ")</f>
        <v>0.63636363636363635</v>
      </c>
      <c r="E10" s="445">
        <f>IF(ISNUMBER((NºAsuntos!C10+NºAsuntos!E10)/NºAsuntos!G10),(NºAsuntos!C10+NºAsuntos!E10)/NºAsuntos!G10," - ")</f>
        <v>3.9090909090909092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0.63820224719101126</v>
      </c>
      <c r="C12" s="443">
        <f>IF(ISNUMBER(NºAsuntos!I12/NºAsuntos!G12),NºAsuntos!I12/NºAsuntos!G12," - ")</f>
        <v>4.264964788732394</v>
      </c>
      <c r="D12" s="444">
        <f>IF(ISNUMBER('Resol  Asuntos'!D12/NºAsuntos!G12),'Resol  Asuntos'!D12/NºAsuntos!G12," - ")</f>
        <v>0.24119718309859156</v>
      </c>
      <c r="E12" s="445">
        <f>IF(ISNUMBER((NºAsuntos!C12+NºAsuntos!E12)/NºAsuntos!G12),(NºAsuntos!C12+NºAsuntos!E12)/NºAsuntos!G12," - ")</f>
        <v>5.26056338028169</v>
      </c>
      <c r="G12" s="463"/>
    </row>
    <row r="13" spans="1:7" ht="14.25" thickTop="1" thickBot="1">
      <c r="A13" s="848" t="str">
        <f>Datos!A13</f>
        <v>TOTAL</v>
      </c>
      <c r="B13" s="858">
        <f>IF(ISNUMBER(NºAsuntos!G13/NºAsuntos!E13),NºAsuntos!G13/NºAsuntos!E13," - ")</f>
        <v>0.64257703081232498</v>
      </c>
      <c r="C13" s="859">
        <f>IF(ISNUMBER(NºAsuntos!I13/NºAsuntos!G13),NºAsuntos!I13/NºAsuntos!G13," - ")</f>
        <v>4.251961639058413</v>
      </c>
      <c r="D13" s="860">
        <f>IF(ISNUMBER('Resol  Asuntos'!D13/NºAsuntos!G13),'Resol  Asuntos'!D13/NºAsuntos!G13," - ")</f>
        <v>0.24498692240627726</v>
      </c>
      <c r="E13" s="861">
        <f>IF(ISNUMBER((NºAsuntos!C13+NºAsuntos!E13)/NºAsuntos!G13),(NºAsuntos!C13+NºAsuntos!E13)/NºAsuntos!G13," - ")</f>
        <v>5.2476024411508284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0.83970406905055484</v>
      </c>
      <c r="C16" s="443">
        <f>IF(ISNUMBER(NºAsuntos!I16/NºAsuntos!G16),NºAsuntos!I16/NºAsuntos!G16," - ")</f>
        <v>2.4302496328928047</v>
      </c>
      <c r="D16" s="444">
        <f>IF(ISNUMBER('Resol  Asuntos'!D16/NºAsuntos!G16),'Resol  Asuntos'!D16/NºAsuntos!G16," - ")</f>
        <v>0.1776798825256975</v>
      </c>
      <c r="E16" s="445">
        <f>IF(ISNUMBER((NºAsuntos!C16+NºAsuntos!E16)/NºAsuntos!G16),(NºAsuntos!C16+NºAsuntos!E16)/NºAsuntos!G16," - ")</f>
        <v>3.4287812041116004</v>
      </c>
      <c r="G16" s="463"/>
    </row>
    <row r="17" spans="1:7" ht="13.5" thickBot="1">
      <c r="A17" s="402" t="str">
        <f>Datos!A17</f>
        <v>Jdos. Violencia contra la mujer</v>
      </c>
      <c r="B17" s="442">
        <f>IF(ISNUMBER(NºAsuntos!G17/NºAsuntos!E17),NºAsuntos!G17/NºAsuntos!E17," - ")</f>
        <v>1.0375000000000001</v>
      </c>
      <c r="C17" s="443">
        <f>IF(ISNUMBER(NºAsuntos!I17/NºAsuntos!G17),NºAsuntos!I17/NºAsuntos!G17," - ")</f>
        <v>0.36746987951807231</v>
      </c>
      <c r="D17" s="444">
        <f>IF(ISNUMBER('Resol  Asuntos'!D17/NºAsuntos!G17),'Resol  Asuntos'!D17/NºAsuntos!G17," - ")</f>
        <v>6.0240963855421686E-2</v>
      </c>
      <c r="E17" s="445">
        <f>IF(ISNUMBER((NºAsuntos!C17+NºAsuntos!E17)/NºAsuntos!G17),(NºAsuntos!C17+NºAsuntos!E17)/NºAsuntos!G17," - ")</f>
        <v>1.3674698795180722</v>
      </c>
      <c r="G17" s="463"/>
    </row>
    <row r="18" spans="1:7" ht="14.25" thickTop="1" thickBot="1">
      <c r="A18" s="848" t="str">
        <f>Datos!A18</f>
        <v>TOTAL</v>
      </c>
      <c r="B18" s="858">
        <f>IF(ISNUMBER(NºAsuntos!G18/NºAsuntos!E18),NºAsuntos!G18/NºAsuntos!E18," - ")</f>
        <v>0.87229660144181254</v>
      </c>
      <c r="C18" s="859">
        <f>IF(ISNUMBER(NºAsuntos!I18/NºAsuntos!G18),NºAsuntos!I18/NºAsuntos!G18," - ")</f>
        <v>2.0259740259740258</v>
      </c>
      <c r="D18" s="862">
        <f>IF(ISNUMBER('Resol  Asuntos'!D18/NºAsuntos!G18),'Resol  Asuntos'!D18/NºAsuntos!G18," - ")</f>
        <v>0.15466351829988192</v>
      </c>
      <c r="E18" s="861">
        <f>IF(ISNUMBER((NºAsuntos!C18+NºAsuntos!E18)/NºAsuntos!G18),(NºAsuntos!C18+NºAsuntos!E18)/NºAsuntos!G18," - ")</f>
        <v>3.0247933884297522</v>
      </c>
      <c r="G18" s="463"/>
    </row>
    <row r="19" spans="1:7" ht="15.75" customHeight="1" thickTop="1" thickBot="1">
      <c r="A19" s="793" t="str">
        <f>Datos!A19</f>
        <v>TOTAL JURISDICCIONES</v>
      </c>
      <c r="B19" s="808">
        <f>IF(ISNUMBER(NºAsuntos!G19/NºAsuntos!E19),NºAsuntos!G19/NºAsuntos!E19," - ")</f>
        <v>0.72351233671988391</v>
      </c>
      <c r="C19" s="809">
        <f>IF(ISNUMBER(NºAsuntos!I19/NºAsuntos!G19),NºAsuntos!I19/NºAsuntos!G19," - ")</f>
        <v>3.30641925777332</v>
      </c>
      <c r="D19" s="810">
        <f>IF(ISNUMBER('Resol  Asuntos'!D19/NºAsuntos!G19),'Resol  Asuntos'!D19/NºAsuntos!G19," - ")</f>
        <v>0.20661985957873621</v>
      </c>
      <c r="E19" s="811">
        <f>IF(ISNUMBER((NºAsuntos!C19+NºAsuntos!E19)/NºAsuntos!G19),(NºAsuntos!C19+NºAsuntos!E19)/NºAsuntos!G19," - ")</f>
        <v>4.3034102306920765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ORAoSJkq8AKIqGJGJC+7LZyMUZIgKqShdvpheOFAB7TFvbBHxHMI+qhxZXX0j1DU1BV8YIHuPYPsVuGeVCLlg==" saltValue="hOZD+W9CorugOvE1eSs8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1</v>
      </c>
      <c r="Y10" s="334">
        <f t="shared" ref="Y10:Y12" si="0">SUM(W10:X10)</f>
        <v>12</v>
      </c>
      <c r="Z10" s="335" t="str">
        <f>IF(ISNUMBER(Datos!CC10),Datos!CC10," - ")</f>
        <v xml:space="preserve"> - </v>
      </c>
      <c r="AA10" s="332">
        <f>IF(ISNUMBER(Datos!L10),Datos!L10,"-")</f>
        <v>32</v>
      </c>
      <c r="AB10" s="334">
        <f>IF(ISNUMBER(Datos!R10),Datos!R10," - ")</f>
        <v>23</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2.2000000000000002</v>
      </c>
      <c r="AM10" s="260">
        <f>IF(ISNUMBER(((NºAsuntos!I10/NºAsuntos!G10)*11)/factor_trimestre),((NºAsuntos!I10/NºAsuntos!G10)*11)/factor_trimestre," - ")</f>
        <v>8.7272727272727284</v>
      </c>
      <c r="AN10" s="244">
        <f>IF(ISNUMBER('Resol  Asuntos'!D10/NºAsuntos!G10),'Resol  Asuntos'!D10/NºAsuntos!G10," - ")</f>
        <v>0.63636363636363635</v>
      </c>
      <c r="AO10" s="245">
        <f>IF(ISNUMBER((NºAsuntos!C10+NºAsuntos!E10)/NºAsuntos!G10),(NºAsuntos!C10+NºAsuntos!E10)/NºAsuntos!G10," - ")</f>
        <v>3.9090909090909092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145</v>
      </c>
      <c r="Y12" s="334">
        <f t="shared" si="0"/>
        <v>145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274</v>
      </c>
      <c r="AJ12" s="229" t="str">
        <f>IF(ISNUMBER(Datos!BW12),Datos!BW12," - ")</f>
        <v xml:space="preserve"> - </v>
      </c>
      <c r="AK12" s="228" t="str">
        <f>IF(ISNUMBER(Datos!BX12),Datos!BX12," - ")</f>
        <v xml:space="preserve"> - </v>
      </c>
      <c r="AL12" s="243">
        <f>IF(ISNUMBER(NºAsuntos!G12/NºAsuntos!E12),NºAsuntos!G12/NºAsuntos!E12," - ")</f>
        <v>0.63820224719101126</v>
      </c>
      <c r="AM12" s="260">
        <f>IF(ISNUMBER(((NºAsuntos!I12/NºAsuntos!G12)*11)/factor_trimestre),((NºAsuntos!I12/NºAsuntos!G12)*11)/factor_trimestre," - ")</f>
        <v>12.794894366197184</v>
      </c>
      <c r="AN12" s="244">
        <f>IF(ISNUMBER('Resol  Asuntos'!D12/NºAsuntos!G12),'Resol  Asuntos'!D12/NºAsuntos!G12," - ")</f>
        <v>0.24119718309859156</v>
      </c>
      <c r="AO12" s="245">
        <f>IF(ISNUMBER((NºAsuntos!C12+NºAsuntos!E12)/NºAsuntos!G12),(NºAsuntos!C12+NºAsuntos!E12)/NºAsuntos!G12," - ")</f>
        <v>5.26056338028169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38</v>
      </c>
      <c r="G13" s="866">
        <f t="shared" si="3"/>
        <v>38</v>
      </c>
      <c r="H13" s="865">
        <f t="shared" si="3"/>
        <v>0</v>
      </c>
      <c r="I13" s="867">
        <f t="shared" si="3"/>
        <v>0</v>
      </c>
      <c r="J13" s="867">
        <f t="shared" si="3"/>
        <v>0</v>
      </c>
      <c r="K13" s="867">
        <f t="shared" si="3"/>
        <v>0</v>
      </c>
      <c r="L13" s="867">
        <f t="shared" si="3"/>
        <v>231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146</v>
      </c>
      <c r="Y13" s="868">
        <f t="shared" si="4"/>
        <v>157</v>
      </c>
      <c r="Z13" s="868">
        <f t="shared" si="4"/>
        <v>0</v>
      </c>
      <c r="AA13" s="868">
        <f t="shared" si="4"/>
        <v>32</v>
      </c>
      <c r="AB13" s="868">
        <f t="shared" si="4"/>
        <v>7360</v>
      </c>
      <c r="AC13" s="868">
        <f t="shared" si="4"/>
        <v>55</v>
      </c>
      <c r="AD13" s="868">
        <f t="shared" si="4"/>
        <v>0</v>
      </c>
      <c r="AE13" s="872">
        <f t="shared" si="4"/>
        <v>0</v>
      </c>
      <c r="AF13" s="865">
        <f t="shared" si="4"/>
        <v>0</v>
      </c>
      <c r="AG13" s="873">
        <f t="shared" si="4"/>
        <v>0</v>
      </c>
      <c r="AH13" s="870">
        <f t="shared" si="4"/>
        <v>0</v>
      </c>
      <c r="AI13" s="865">
        <f t="shared" si="4"/>
        <v>281</v>
      </c>
      <c r="AJ13" s="867">
        <f t="shared" si="4"/>
        <v>0</v>
      </c>
      <c r="AK13" s="870">
        <f>SUBTOTAL(9,AK9:AK12)</f>
        <v>0</v>
      </c>
      <c r="AL13" s="874">
        <f>IF(ISNUMBER(NºAsuntos!G13/NºAsuntos!E13),NºAsuntos!G13/NºAsuntos!E13," - ")</f>
        <v>0.64257703081232498</v>
      </c>
      <c r="AM13" s="874">
        <f>IF(ISNUMBER(((NºAsuntos!I13/NºAsuntos!G13)*11)/factor_trimestre),((NºAsuntos!I13/NºAsuntos!G13)*11)/factor_trimestre," - ")</f>
        <v>12.755884917175239</v>
      </c>
      <c r="AN13" s="875">
        <f>IF(ISNUMBER('Resol  Asuntos'!D13/NºAsuntos!G13),'Resol  Asuntos'!D13/NºAsuntos!G13," - ")</f>
        <v>0.24498692240627726</v>
      </c>
      <c r="AO13" s="876">
        <f>IF(ISNUMBER((NºAsuntos!C13+NºAsuntos!E13)/NºAsuntos!G13),(NºAsuntos!C13+NºAsuntos!E13)/NºAsuntos!G13," - ")</f>
        <v>5.2476024411508284</v>
      </c>
      <c r="AP13" s="877" t="str">
        <f t="shared" si="2"/>
        <v xml:space="preserve"> - </v>
      </c>
      <c r="AQ13" s="877">
        <f>IF(ISNUMBER((H13-W13+K13)/(F13)),(H13-W13+K13)/(F13)," - ")</f>
        <v>-0.28947368421052633</v>
      </c>
      <c r="AR13" s="878">
        <f>IF(ISNUMBER((Datos!P13-Datos!Q13)/(Datos!R13-Datos!P13+Datos!Q13)),(Datos!P13-Datos!Q13)/(Datos!R13-Datos!P13+Datos!Q13)," - ")</f>
        <v>1.1683848797250859E-2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1525</v>
      </c>
      <c r="G16" s="333">
        <f>IF(ISNUMBER(IF(D_I="SI",Datos!I16,Datos!I16+Datos!AC16)),IF(D_I="SI",Datos!I16,Datos!I16+Datos!AC16)," - ")</f>
        <v>1524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681</v>
      </c>
      <c r="X16" s="226">
        <f>IF(ISNUMBER(Datos!Q16),Datos!Q16," - ")</f>
        <v>16</v>
      </c>
      <c r="Y16" s="334">
        <f t="shared" ref="Y16:Y17" si="7">SUM(W16:X16)</f>
        <v>697</v>
      </c>
      <c r="Z16" s="335" t="str">
        <f>IF(ISNUMBER(Datos!CC16),Datos!CC16," - ")</f>
        <v xml:space="preserve"> - </v>
      </c>
      <c r="AA16" s="332">
        <f>IF(ISNUMBER(IF(D_I="SI",Datos!L16,Datos!L16+Datos!AF16)),IF(D_I="SI",Datos!L16,Datos!L16+Datos!AF16)," - ")</f>
        <v>1655</v>
      </c>
      <c r="AB16" s="334">
        <f>IF(ISNUMBER(Datos!R16),Datos!R16," - ")</f>
        <v>150</v>
      </c>
      <c r="AC16" s="334">
        <f t="shared" si="6"/>
        <v>1805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121</v>
      </c>
      <c r="AJ16" s="231" t="str">
        <f>IF(ISNUMBER(Datos!BW16),Datos!BW16," - ")</f>
        <v xml:space="preserve"> - </v>
      </c>
      <c r="AK16" s="232" t="str">
        <f>IF(ISNUMBER(Datos!BX16),Datos!BX16," - ")</f>
        <v xml:space="preserve"> - </v>
      </c>
      <c r="AL16" s="243">
        <f>IF(ISNUMBER(NºAsuntos!G16/NºAsuntos!E16),NºAsuntos!G16/NºAsuntos!E16," - ")</f>
        <v>0.83970406905055484</v>
      </c>
      <c r="AM16" s="260">
        <f>IF(ISNUMBER(((NºAsuntos!I16/NºAsuntos!G16)*11)/factor_trimestre),((NºAsuntos!I16/NºAsuntos!G16)*11)/factor_trimestre," - ")</f>
        <v>7.290748898678415</v>
      </c>
      <c r="AN16" s="244">
        <f>IF(ISNUMBER('Resol  Asuntos'!D16/NºAsuntos!G16),'Resol  Asuntos'!D16/NºAsuntos!G16," - ")</f>
        <v>0.1776798825256975</v>
      </c>
      <c r="AO16" s="245">
        <f>IF(ISNUMBER((NºAsuntos!C16+NºAsuntos!E16)/NºAsuntos!G16),(NºAsuntos!C16+NºAsuntos!E16)/NºAsuntos!G16," - ")</f>
        <v>3.4287812041116004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166</v>
      </c>
      <c r="X17" s="226">
        <f>IF(ISNUMBER(Datos!Q17),Datos!Q17," - ")</f>
        <v>0</v>
      </c>
      <c r="Y17" s="334">
        <f t="shared" si="7"/>
        <v>166</v>
      </c>
      <c r="Z17" s="335" t="str">
        <f>IF(ISNUMBER(Datos!CC17),Datos!CC17," - ")</f>
        <v xml:space="preserve"> - </v>
      </c>
      <c r="AA17" s="332">
        <f>IF(ISNUMBER(Datos!L17),Datos!L17,"-")</f>
        <v>61</v>
      </c>
      <c r="AB17" s="334">
        <f>IF(ISNUMBER(Datos!R17),Datos!R17," - ")</f>
        <v>3</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1.0375000000000001</v>
      </c>
      <c r="AM17" s="260">
        <f>IF(ISNUMBER(((NºAsuntos!I17/NºAsuntos!G17)*11)/factor_trimestre),((NºAsuntos!I17/NºAsuntos!G17)*11)/factor_trimestre," - ")</f>
        <v>1.102409638554217</v>
      </c>
      <c r="AN17" s="244">
        <f>IF(ISNUMBER('Resol  Asuntos'!D17/NºAsuntos!G17),'Resol  Asuntos'!D17/NºAsuntos!G17," - ")</f>
        <v>6.0240963855421686E-2</v>
      </c>
      <c r="AO17" s="245">
        <f>IF(ISNUMBER((NºAsuntos!C17+NºAsuntos!E17)/NºAsuntos!G17),(NºAsuntos!C17+NºAsuntos!E17)/NºAsuntos!G17," - ")</f>
        <v>1.3674698795180722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1525</v>
      </c>
      <c r="G18" s="866">
        <f>SUBTOTAL(9,G15:G17)</f>
        <v>1591</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847</v>
      </c>
      <c r="X18" s="867">
        <f t="shared" si="11"/>
        <v>16</v>
      </c>
      <c r="Y18" s="868">
        <f t="shared" si="11"/>
        <v>863</v>
      </c>
      <c r="Z18" s="868">
        <f t="shared" si="11"/>
        <v>0</v>
      </c>
      <c r="AA18" s="868">
        <f t="shared" si="11"/>
        <v>1716</v>
      </c>
      <c r="AB18" s="868">
        <f t="shared" si="11"/>
        <v>153</v>
      </c>
      <c r="AC18" s="868">
        <f t="shared" si="11"/>
        <v>1869</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0.87229660144181254</v>
      </c>
      <c r="AM18" s="874">
        <f>IF(ISNUMBER(((NºAsuntos!I18/NºAsuntos!G18)*11)/factor_trimestre),((NºAsuntos!I18/NºAsuntos!G18)*11)/factor_trimestre," - ")</f>
        <v>6.0779220779220777</v>
      </c>
      <c r="AN18" s="875">
        <f>IF(ISNUMBER('Resol  Asuntos'!D18/NºAsuntos!G18),'Resol  Asuntos'!D18/NºAsuntos!G18," - ")</f>
        <v>0.15466351829988192</v>
      </c>
      <c r="AO18" s="876">
        <f>IF(ISNUMBER((NºAsuntos!C18+NºAsuntos!E18)/NºAsuntos!G18),(NºAsuntos!C18+NºAsuntos!E18)/NºAsuntos!G18," - ")</f>
        <v>3.0247933884297522</v>
      </c>
      <c r="AP18" s="877" t="str">
        <f t="shared" si="2"/>
        <v xml:space="preserve"> - </v>
      </c>
      <c r="AQ18" s="877">
        <f>IF(ISNUMBER((H18-W18+K18)/(F18)),(H18-W18+K18)/(F18)," - ")</f>
        <v>-0.55540983606557381</v>
      </c>
      <c r="AR18" s="878">
        <f>IF(ISNUMBER((Datos!P18-Datos!Q18)/(Datos!R18-Datos!P18+Datos!Q18)),(Datos!P18-Datos!Q18)/(Datos!R18-Datos!P18+Datos!Q18)," - ")</f>
        <v>-7.8313253012048195E-2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1563</v>
      </c>
      <c r="G19" s="821">
        <f t="shared" si="13"/>
        <v>1629</v>
      </c>
      <c r="H19" s="820">
        <f t="shared" si="13"/>
        <v>0</v>
      </c>
      <c r="I19" s="822">
        <f t="shared" si="13"/>
        <v>0</v>
      </c>
      <c r="J19" s="822">
        <f t="shared" si="13"/>
        <v>0</v>
      </c>
      <c r="K19" s="881">
        <f t="shared" si="13"/>
        <v>0</v>
      </c>
      <c r="L19" s="822">
        <f t="shared" si="13"/>
        <v>234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858</v>
      </c>
      <c r="X19" s="821">
        <f t="shared" si="14"/>
        <v>162</v>
      </c>
      <c r="Y19" s="828">
        <f t="shared" si="14"/>
        <v>1020</v>
      </c>
      <c r="Z19" s="828">
        <f t="shared" si="14"/>
        <v>0</v>
      </c>
      <c r="AA19" s="828">
        <f t="shared" si="14"/>
        <v>1748</v>
      </c>
      <c r="AB19" s="828">
        <f t="shared" si="14"/>
        <v>7513</v>
      </c>
      <c r="AC19" s="828">
        <f t="shared" si="14"/>
        <v>1924</v>
      </c>
      <c r="AD19" s="828">
        <f t="shared" si="14"/>
        <v>0</v>
      </c>
      <c r="AE19" s="830">
        <f t="shared" si="14"/>
        <v>0</v>
      </c>
      <c r="AF19" s="831">
        <f t="shared" si="14"/>
        <v>0</v>
      </c>
      <c r="AG19" s="832">
        <f t="shared" si="14"/>
        <v>0</v>
      </c>
      <c r="AH19" s="830">
        <f t="shared" si="14"/>
        <v>0</v>
      </c>
      <c r="AI19" s="820">
        <f t="shared" si="14"/>
        <v>412</v>
      </c>
      <c r="AJ19" s="820">
        <f t="shared" si="14"/>
        <v>0</v>
      </c>
      <c r="AK19" s="830">
        <f t="shared" si="14"/>
        <v>0</v>
      </c>
      <c r="AL19" s="884">
        <f>IF(ISNUMBER(NºAsuntos!G19/NºAsuntos!E19),NºAsuntos!G19/NºAsuntos!E19," - ")</f>
        <v>0.72351233671988391</v>
      </c>
      <c r="AM19" s="885">
        <f>IF(ISNUMBER(((NºAsuntos!I19/NºAsuntos!G19)*11)/factor_trimestre),((NºAsuntos!I19/NºAsuntos!G19)*11)/factor_trimestre," - ")</f>
        <v>9.9192577733199609</v>
      </c>
      <c r="AN19" s="885">
        <f>IF(ISNUMBER('Resol  Asuntos'!D19/NºAsuntos!G19),'Resol  Asuntos'!D19/NºAsuntos!G19," - ")</f>
        <v>0.20661985957873621</v>
      </c>
      <c r="AO19" s="886">
        <f>IF(ISNUMBER((NºAsuntos!C19+NºAsuntos!E19)/NºAsuntos!G19),(NºAsuntos!C19+NºAsuntos!E19)/NºAsuntos!G19," - ")</f>
        <v>4.3034102306920765</v>
      </c>
      <c r="AP19" s="887" t="str">
        <f t="shared" si="2"/>
        <v xml:space="preserve"> - </v>
      </c>
      <c r="AQ19" s="888">
        <f>IF(OR(ISNUMBER(FIND("01",Criterios!A8,1)),ISNUMBER(FIND("02",Criterios!A8,1)),ISNUMBER(FIND("03",Criterios!A8,1)),ISNUMBER(FIND("04",Criterios!A8,1))),(I19-W19+K19)/(F19-K19),(H19-W19+K19)/(F19-K19))</f>
        <v>-0.54894433781190022</v>
      </c>
      <c r="AR19" s="889">
        <f>IF(ISNUMBER((Datos!P19-Datos!Q19)/(Datos!R19-Datos!P19+Datos!Q19)),(Datos!P19-Datos!Q19)/(Datos!R19-Datos!P19+Datos!Q19)," - ")</f>
        <v>9.6761188012363924E-3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858.51985028497359</v>
      </c>
      <c r="G21" s="253">
        <f>IF(ISNUMBER(STDEV(G8:G18)),STDEV(G8:G18),"-")</f>
        <v>827.39367897029524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393.71207753890405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120.68581800139843</v>
      </c>
      <c r="AJ21" s="252">
        <f t="shared" si="18"/>
        <v>0</v>
      </c>
      <c r="AK21" s="254">
        <f t="shared" si="18"/>
        <v>0</v>
      </c>
      <c r="AL21" s="249">
        <f t="shared" si="18"/>
        <v>0.58876478221379736</v>
      </c>
      <c r="AM21" s="250">
        <f t="shared" si="18"/>
        <v>4.4230988938520168</v>
      </c>
      <c r="AN21" s="250">
        <f t="shared" si="18"/>
        <v>0.19983445775342554</v>
      </c>
      <c r="AO21" s="251">
        <f t="shared" si="18"/>
        <v>1.4726891224887604</v>
      </c>
      <c r="AP21" s="291" t="str">
        <f t="shared" si="18"/>
        <v>-</v>
      </c>
      <c r="AQ21" s="292">
        <f t="shared" si="18"/>
        <v>0.18804525633935942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GbodKp/pTiqARTZ+xkcZ5Cju6GuK7q+YkBnTJ7TMMrsu3mNCwiWQQZxHmuliiewe2J1aq1tWlpwUrag6QuJQ==" saltValue="SSCnIDzEUET3rVgNdi1rw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-0.6428571428571429</v>
      </c>
      <c r="F10" s="348">
        <f>IF(ISNUMBER((Datos!K10-Datos!U10)/Datos!U10),(Datos!K10-Datos!U10)/Datos!U10," - ")</f>
        <v>-0.26666666666666666</v>
      </c>
      <c r="G10" s="349">
        <f>IF(ISNUMBER((Datos!L10-Datos!V10)/Datos!V10),(Datos!L10-Datos!V10)/Datos!V10," - ")</f>
        <v>-0.13513513513513514</v>
      </c>
      <c r="H10" s="230">
        <f>IF(ISNUMBER((Datos!M10-Datos!W10)/Datos!W10),(Datos!M10-Datos!W10)/Datos!W10," - ")</f>
        <v>-0.36363636363636365</v>
      </c>
      <c r="I10" s="350">
        <f>IF(ISNUMBER((Tasas!C10-Datos!BE10)/Datos!BE10),(Tasas!C10-Datos!BE10)/Datos!BE10," - ")</f>
        <v>0.17936117936117935</v>
      </c>
      <c r="J10" s="349">
        <f>IF(ISNUMBER((Tasas!D10-Datos!BF10)/Datos!BF10),(Tasas!D10-Datos!BF10)/Datos!BF10," - ")</f>
        <v>-0.13223140495867763</v>
      </c>
      <c r="K10" s="351">
        <f>IF(ISNUMBER((Tasas!E10-Datos!BG10)/Datos!BG10),(Tasas!E10-Datos!BG10)/Datos!BG10," - ")</f>
        <v>0.1276223776223776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7.874015748031496E-2</v>
      </c>
      <c r="I12" s="350">
        <f>IF(ISNUMBER((Tasas!C12-Datos!BE12)/Datos!BE12),(Tasas!C12-Datos!BE12)/Datos!BE12," - ")</f>
        <v>0.52899464741468949</v>
      </c>
      <c r="J12" s="349">
        <f>IF(ISNUMBER((Tasas!D12-Datos!BF12)/Datos!BF12),(Tasas!D12-Datos!BF12)/Datos!BF12," - ")</f>
        <v>-0.54393099007021484</v>
      </c>
      <c r="K12" s="351">
        <f>IF(ISNUMBER((Tasas!E12-Datos!BG12)/Datos!BG12),(Tasas!E12-Datos!BG12)/Datos!BG12," - ")</f>
        <v>0.38823430496523814</v>
      </c>
      <c r="M12" t="e">
        <f>IF(Monitorios="SI",Datos!CE12,0)</f>
        <v>#REF!</v>
      </c>
      <c r="N12" t="e">
        <f>IF(Monitorios="SI",Datos!CF12,0)</f>
        <v>#REF!</v>
      </c>
      <c r="O12" t="e">
        <f>IF(Monitorios="SI",Datos!CG12,0)</f>
        <v>#REF!</v>
      </c>
      <c r="P12" t="e">
        <f>IF(Monitorios="SI",Datos!CH12,0)</f>
        <v>#REF!</v>
      </c>
      <c r="Q12">
        <f>IF(J_V="SI",0,Datos!AG12)</f>
        <v>57</v>
      </c>
      <c r="R12">
        <f>IF(J_V="SI",0,Datos!AH12)</f>
        <v>112</v>
      </c>
      <c r="S12">
        <f>IF(J_V="SI",0,Datos!AI12)</f>
        <v>86</v>
      </c>
      <c r="T12">
        <f>IF(J_V="SI",0,Datos!AJ12)</f>
        <v>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6.0377358490566038E-2</v>
      </c>
      <c r="I13" s="357">
        <f>IF(ISNUMBER((Tasas!C13-Datos!BE13)/Datos!BE13),(Tasas!C13-Datos!BE13)/Datos!BE13," - ")</f>
        <v>0.5263753794239584</v>
      </c>
      <c r="J13" s="355">
        <f>IF(ISNUMBER((Tasas!D13-Datos!BF13)/Datos!BF13),(Tasas!D13-Datos!BF13)/Datos!BF13," - ")</f>
        <v>-0.53882723024536772</v>
      </c>
      <c r="K13" s="358">
        <f>IF(ISNUMBER((Tasas!E13-Datos!BG13)/Datos!BG13),(Tasas!E13-Datos!BG13)/Datos!BG13," - ")</f>
        <v>0.38617930064615569</v>
      </c>
      <c r="M13" t="e">
        <f>IF(Monitorios="SI",Datos!CE13,0)</f>
        <v>#REF!</v>
      </c>
      <c r="N13" t="e">
        <f>IF(Monitorios="SI",Datos!CF13,0)</f>
        <v>#REF!</v>
      </c>
      <c r="O13" t="e">
        <f>IF(Monitorios="SI",Datos!CG13,0)</f>
        <v>#REF!</v>
      </c>
      <c r="P13" t="e">
        <f>IF(Monitorios="SI",Datos!CH13,0)</f>
        <v>#REF!</v>
      </c>
      <c r="Q13">
        <f>IF(J_V="SI",0,Datos!AG13)</f>
        <v>57</v>
      </c>
      <c r="R13">
        <f>IF(J_V="SI",0,Datos!AH13)</f>
        <v>112</v>
      </c>
      <c r="S13">
        <f>IF(J_V="SI",0,Datos!AI13)</f>
        <v>86</v>
      </c>
      <c r="T13">
        <f>IF(J_V="SI",0,Datos!AJ13)</f>
        <v>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0.80997624703087889</v>
      </c>
      <c r="E16" s="348">
        <f>IF(ISNUMBER(
   IF(D_I="SI",(Datos!J16-Datos!T16)/Datos!T16,(Datos!J16+Datos!AD16-(Datos!T16+Datos!AL16))/(Datos!T16+Datos!AL16))
     ),IF(D_I="SI",(Datos!J16-Datos!T16)/Datos!T16,(Datos!J16+Datos!AD16-(Datos!T16+Datos!AL16))/(Datos!T16+Datos!AL16))," - ")</f>
        <v>-5.8072009291521488E-2</v>
      </c>
      <c r="F16" s="348">
        <f>IF(ISNUMBER(
   IF(D_I="SI",(Datos!K16-Datos!U16)/Datos!U16,(Datos!K16+Datos!AE16-(Datos!U16+Datos!AM16))/(Datos!U16+Datos!AM16))
     ),IF(D_I="SI",(Datos!K16-Datos!U16)/Datos!U16,(Datos!K16+Datos!AE16-(Datos!U16+Datos!AM16))/(Datos!U16+Datos!AM16))," - ")</f>
        <v>-2.7142857142857142E-2</v>
      </c>
      <c r="G16" s="349">
        <f>IF(ISNUMBER(
   IF(D_I="SI",(Datos!L16-Datos!V16)/Datos!V16,(Datos!L16+Datos!AF16-(Datos!V16+Datos!AN16))/(Datos!V16+Datos!AN16))
     ),IF(D_I="SI",(Datos!L16-Datos!V16)/Datos!V16,(Datos!L16+Datos!AF16-(Datos!V16+Datos!AN16))/(Datos!V16+Datos!AN16))," - ")</f>
        <v>0.65004985044865404</v>
      </c>
      <c r="H16" s="230">
        <f>IF(ISNUMBER((Datos!M16-Datos!W16)/Datos!W16),(Datos!M16-Datos!W16)/Datos!W16," - ")</f>
        <v>0.47560975609756095</v>
      </c>
      <c r="I16" s="350">
        <f>IF(ISNUMBER((Tasas!C16-Datos!BE16)/Datos!BE16),(Tasas!C16-Datos!BE16)/Datos!BE16," - ")</f>
        <v>0.69608648357424063</v>
      </c>
      <c r="J16" s="349">
        <f>IF(ISNUMBER((Tasas!D16-Datos!BF16)/Datos!BF16),(Tasas!D16-Datos!BF16)/Datos!BF16," - ")</f>
        <v>0.51677948497546644</v>
      </c>
      <c r="K16" s="351">
        <f>IF(ISNUMBER((Tasas!E16-Datos!BG16)/Datos!BG16),(Tasas!E16-Datos!BG16)/Datos!BG16," - ")</f>
        <v>0.40936397115567841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8.0645161290322578E-2</v>
      </c>
      <c r="E17" s="348">
        <f>IF(ISNUMBER(
   IF(D_I="SI",(Datos!J17-Datos!T17)/Datos!T17,(Datos!J17+Datos!AD17-(Datos!T17+Datos!AL17))/(Datos!T17+Datos!AL17))
     ),IF(D_I="SI",(Datos!J17-Datos!T17)/Datos!T17,(Datos!J17+Datos!AD17-(Datos!T17+Datos!AL17))/(Datos!T17+Datos!AL17))," - ")</f>
        <v>0.37931034482758619</v>
      </c>
      <c r="F17" s="348">
        <f>IF(ISNUMBER(
   IF(D_I="SI",(Datos!K17-Datos!U17)/Datos!U17,(Datos!K17+Datos!AE17-(Datos!U17+Datos!AM17))/(Datos!U17+Datos!AM17))
     ),IF(D_I="SI",(Datos!K17-Datos!U17)/Datos!U17,(Datos!K17+Datos!AE17-(Datos!U17+Datos!AM17))/(Datos!U17+Datos!AM17))," - ")</f>
        <v>0.25757575757575757</v>
      </c>
      <c r="G17" s="349">
        <f>IF(ISNUMBER(
   IF(D_I="SI",(Datos!L17-Datos!V17)/Datos!V17,(Datos!L17+Datos!AF17-(Datos!V17+Datos!AN17))/(Datos!V17+Datos!AN17))
     ),IF(D_I="SI",(Datos!L17-Datos!V17)/Datos!V17,(Datos!L17+Datos!AF17-(Datos!V17+Datos!AN17))/(Datos!V17+Datos!AN17))," - ")</f>
        <v>0.32608695652173914</v>
      </c>
      <c r="H17" s="230">
        <f>IF(ISNUMBER((Datos!M17-Datos!W17)/Datos!W17),(Datos!M17-Datos!W17)/Datos!W17," - ")</f>
        <v>-0.52380952380952384</v>
      </c>
      <c r="I17" s="350">
        <f>IF(ISNUMBER((Tasas!C17-Datos!BE17)/Datos!BE17),(Tasas!C17-Datos!BE17)/Datos!BE17," - ")</f>
        <v>5.4478784704033507E-2</v>
      </c>
      <c r="J17" s="349">
        <f>IF(ISNUMBER((Tasas!D17-Datos!BF17)/Datos!BF17),(Tasas!D17-Datos!BF17)/Datos!BF17," - ")</f>
        <v>-0.62134251290877796</v>
      </c>
      <c r="K17" s="351">
        <f>IF(ISNUMBER((Tasas!E17-Datos!BG17)/Datos!BG17),(Tasas!E17-Datos!BG17)/Datos!BG17," - ")</f>
        <v>1.4078787058345739E-2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0.75995575221238942</v>
      </c>
      <c r="E18" s="354">
        <f>IF(ISNUMBER(
   IF(D_I="SI",(Datos!J18-Datos!T18)/Datos!T18,(Datos!J18+Datos!AD18-(Datos!T18+Datos!AL18))/(Datos!T18+Datos!AL18))
     ),IF(D_I="SI",(Datos!J18-Datos!T18)/Datos!T18,(Datos!J18+Datos!AD18-(Datos!T18+Datos!AL18))/(Datos!T18+Datos!AL18))," - ")</f>
        <v>-6.1412487205731829E-3</v>
      </c>
      <c r="F18" s="354">
        <f>IF(ISNUMBER(
   IF(D_I="SI",(Datos!K18-Datos!U18)/Datos!U18,(Datos!K18+Datos!AE18-(Datos!U18+Datos!AM18))/(Datos!U18+Datos!AM18))
     ),IF(D_I="SI",(Datos!K18-Datos!U18)/Datos!U18,(Datos!K18+Datos!AE18-(Datos!U18+Datos!AM18))/(Datos!U18+Datos!AM18))," - ")</f>
        <v>1.8028846153846152E-2</v>
      </c>
      <c r="G18" s="355">
        <f>IF(ISNUMBER(
   IF(D_I="SI",(Datos!L18-Datos!V18)/Datos!V18,(Datos!L18+Datos!AF18-(Datos!V18+Datos!AN18))/(Datos!V18+Datos!AN18))
     ),IF(D_I="SI",(Datos!L18-Datos!V18)/Datos!V18,(Datos!L18+Datos!AF18-(Datos!V18+Datos!AN18))/(Datos!V18+Datos!AN18))," - ")</f>
        <v>0.63584366062917064</v>
      </c>
      <c r="H18" s="356">
        <f>IF(ISNUMBER((Datos!M18-Datos!W18)/Datos!W18),(Datos!M18-Datos!W18)/Datos!W18," - ")</f>
        <v>0.27184466019417475</v>
      </c>
      <c r="I18" s="357">
        <f>IF(ISNUMBER((Tasas!C18-Datos!BE18)/Datos!BE18),(Tasas!C18-Datos!BE18)/Datos!BE18," - ")</f>
        <v>0.60687358399465152</v>
      </c>
      <c r="J18" s="355">
        <f>IF(ISNUMBER((Tasas!D18-Datos!BF18)/Datos!BF18),(Tasas!D18-Datos!BF18)/Datos!BF18," - ")</f>
        <v>0.24932084684953162</v>
      </c>
      <c r="K18" s="358">
        <f>IF(ISNUMBER((Tasas!E18-Datos!BG18)/Datos!BG18),(Tasas!E18-Datos!BG18)/Datos!BG18," - ")</f>
        <v>0.33792030790725897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0.40938785385918219</v>
      </c>
      <c r="E19" s="363">
        <f>IF(ISNUMBER(
   IF(J_V="SI",(Datos!J19-Datos!T19)/Datos!T19,(Datos!J19+Datos!Z19-(Datos!T19+Datos!AH19))/(Datos!T19+Datos!AH19))
     ),IF(J_V="SI",(Datos!J19-Datos!T19)/Datos!T19,(Datos!J19+Datos!Z19-(Datos!T19+Datos!AH19))/(Datos!T19+Datos!AH19))," - ")</f>
        <v>3.6869826937547028E-2</v>
      </c>
      <c r="F19" s="363">
        <f>IF(ISNUMBER(
   IF(J_V="SI",(Datos!K19-Datos!U19)/Datos!U19,(Datos!K19+Datos!AA19-(Datos!U19+Datos!AI19))/(Datos!U19+Datos!AI19))
     ),IF(J_V="SI",(Datos!K19-Datos!U19)/Datos!U19,(Datos!K19+Datos!AA19-(Datos!U19+Datos!AI19))/(Datos!U19+Datos!AI19))," - ")</f>
        <v>-6.3410051667449507E-2</v>
      </c>
      <c r="G19" s="364">
        <f>IF(ISNUMBER(
   IF(J_V="SI",(Datos!L19-Datos!V19)/Datos!V19,(Datos!L19+Datos!AB19-(Datos!V19+Datos!AJ19))/(Datos!V19+Datos!AJ19))
     ),IF(J_V="SI",(Datos!L19-Datos!V19)/Datos!V19,(Datos!L19+Datos!AB19-(Datos!V19+Datos!AJ19))/(Datos!V19+Datos!AJ19))," - ")</f>
        <v>0.4141999141999142</v>
      </c>
      <c r="H19" s="365">
        <f>IF(ISNUMBER((Datos!M19-Datos!W19)/Datos!W19),(Datos!M19-Datos!W19)/Datos!W19," - ")</f>
        <v>0.11956521739130435</v>
      </c>
      <c r="I19" s="362">
        <f>IF(ISNUMBER((Tasas!C19-Datos!BE19)/Datos!BE19),(Tasas!C19-Datos!BE19)/Datos!BE19," - ")</f>
        <v>0.50994564560261657</v>
      </c>
      <c r="J19" s="363">
        <f>IF(ISNUMBER((Tasas!D19-Datos!BF19)/Datos!BF19),(Tasas!D19-Datos!BF19)/Datos!BF19," - ")</f>
        <v>-0.44457868555160429</v>
      </c>
      <c r="K19" s="364">
        <f>IF(ISNUMBER((Tasas!E19-Datos!BG19)/Datos!BG19),(Tasas!E19-Datos!BG19)/Datos!BG19," - ")</f>
        <v>0.34913273172484627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0.43166216242013661</v>
      </c>
      <c r="E21" s="278">
        <f t="shared" si="1"/>
        <v>0.42177997954327134</v>
      </c>
      <c r="F21" s="278">
        <f t="shared" si="1"/>
        <v>0.21481410662134062</v>
      </c>
      <c r="G21" s="279">
        <f t="shared" si="1"/>
        <v>0.36796201922967126</v>
      </c>
      <c r="H21" s="285">
        <f t="shared" si="1"/>
        <v>0.37856499893207723</v>
      </c>
      <c r="I21" s="277">
        <f t="shared" si="1"/>
        <v>0.25494538706420827</v>
      </c>
      <c r="J21" s="278">
        <f t="shared" si="1"/>
        <v>0.47498840751321003</v>
      </c>
      <c r="K21" s="279">
        <f t="shared" si="1"/>
        <v>0.16550867477266501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yxbZkPeOxq8KH/8OUofcoN9Yr9E5x/gFKExM1x8vzeQh8K30wBqDGKuQ4hBbZ06M+GdEWCGVJsMJwhKZGntvg==" saltValue="aChUnWmR8fku6r4Ne4m3b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